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aingsburg" sheetId="1" r:id="rId1"/>
    <sheet name="Matjiesfontein" sheetId="2" r:id="rId2"/>
  </sheets>
  <definedNames>
    <definedName name="_xlnm.Print_Area" localSheetId="0">'Laingsburg'!$A$1:$CT$56</definedName>
    <definedName name="_xlnm.Print_Titles" localSheetId="0">'Laingsburg'!$A:$I</definedName>
  </definedNames>
  <calcPr fullCalcOnLoad="1"/>
</workbook>
</file>

<file path=xl/sharedStrings.xml><?xml version="1.0" encoding="utf-8"?>
<sst xmlns="http://schemas.openxmlformats.org/spreadsheetml/2006/main" count="575" uniqueCount="155">
  <si>
    <t>Calcium (as Ca)</t>
  </si>
  <si>
    <t>Magnesium (as Mg)</t>
  </si>
  <si>
    <t>Sodium (as Na)</t>
  </si>
  <si>
    <t>Potassium (as K)</t>
  </si>
  <si>
    <t>Zinc (as Zn)</t>
  </si>
  <si>
    <t>Chloride (as Cl)</t>
  </si>
  <si>
    <t>Fluoride (as F)</t>
  </si>
  <si>
    <t>Total Dissolved Solids</t>
  </si>
  <si>
    <t>Ammonia Nitrogen (as N)</t>
  </si>
  <si>
    <t>Iron (as Fe)</t>
  </si>
  <si>
    <t>Manganese (as Mn)</t>
  </si>
  <si>
    <t>Aluminium (as Al)</t>
  </si>
  <si>
    <t>-</t>
  </si>
  <si>
    <t>Compliance Calculations</t>
  </si>
  <si>
    <t>May</t>
  </si>
  <si>
    <t>Parameter</t>
  </si>
  <si>
    <t>Unit</t>
  </si>
  <si>
    <t>Risk</t>
  </si>
  <si>
    <t>Total Number of Samples</t>
  </si>
  <si>
    <t>Number of Samples Complying</t>
  </si>
  <si>
    <t>% Compliance Achieved</t>
  </si>
  <si>
    <t>Performance</t>
  </si>
  <si>
    <t>Average</t>
  </si>
  <si>
    <t>pH (at 25°C)</t>
  </si>
  <si>
    <t>pH</t>
  </si>
  <si>
    <t>Operational</t>
  </si>
  <si>
    <r>
      <rPr>
        <u val="single"/>
        <sz val="8"/>
        <color indexed="8"/>
        <rFont val="Arial"/>
        <family val="2"/>
      </rPr>
      <t>&gt;</t>
    </r>
    <r>
      <rPr>
        <sz val="8"/>
        <color indexed="8"/>
        <rFont val="Arial"/>
        <family val="2"/>
      </rPr>
      <t xml:space="preserve">5.0 - </t>
    </r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9.7</t>
    </r>
  </si>
  <si>
    <t>Conductivity</t>
  </si>
  <si>
    <t>mS/m</t>
  </si>
  <si>
    <t>Aesthetic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</si>
  <si>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170</t>
    </r>
  </si>
  <si>
    <t>Turbidity</t>
  </si>
  <si>
    <t>NTU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</si>
  <si>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</t>
    </r>
  </si>
  <si>
    <t>Colour (as Pt)</t>
  </si>
  <si>
    <t>mg/L Pt-Co</t>
  </si>
  <si>
    <r>
      <t>Total Hardness (as CaCO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</si>
  <si>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Calcium Hardness (as CaCO3)</t>
  </si>
  <si>
    <t>mg/L</t>
  </si>
  <si>
    <t>Aesthetic / Operation</t>
  </si>
  <si>
    <t>Aesthetic / Health</t>
  </si>
  <si>
    <t>Operational / Health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</si>
  <si>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300</t>
    </r>
  </si>
  <si>
    <t>Chronic Health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</si>
  <si>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1.5</t>
    </r>
  </si>
  <si>
    <t>Acute Health - 1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</si>
  <si>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1 200</t>
    </r>
  </si>
  <si>
    <t>ug/L</t>
  </si>
  <si>
    <t>cfu/100ml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</si>
  <si>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10</t>
    </r>
  </si>
  <si>
    <r>
      <rPr>
        <u val="single"/>
        <sz val="8"/>
        <rFont val="Arial"/>
        <family val="2"/>
      </rPr>
      <t>&lt;</t>
    </r>
    <r>
      <rPr>
        <sz val="8"/>
        <rFont val="Arial"/>
        <family val="2"/>
      </rPr>
      <t xml:space="preserve"> 0</t>
    </r>
  </si>
  <si>
    <t>Acute Health - 1 Chemical</t>
  </si>
  <si>
    <t>Risk Assessment Defined Health (Acute or Chronic)</t>
  </si>
  <si>
    <t>Operational Efficiency</t>
  </si>
  <si>
    <t>Langelier Saturation Index</t>
  </si>
  <si>
    <t>Free Chlorine</t>
  </si>
  <si>
    <t>cfu/ml</t>
  </si>
  <si>
    <t>Total Coliform Bacteria</t>
  </si>
  <si>
    <t>Heterotrophic Plate Count</t>
  </si>
  <si>
    <t>Escherichia Coli</t>
  </si>
  <si>
    <t>2014 Blue Drop Limits</t>
  </si>
  <si>
    <r>
      <t xml:space="preserve">Standard Limits </t>
    </r>
    <r>
      <rPr>
        <sz val="8"/>
        <color indexed="12"/>
        <rFont val="Arial"/>
        <family val="2"/>
      </rPr>
      <t>(</t>
    </r>
    <r>
      <rPr>
        <sz val="8"/>
        <color indexed="17"/>
        <rFont val="Arial"/>
        <family val="2"/>
      </rPr>
      <t>SANS 241-2011</t>
    </r>
    <r>
      <rPr>
        <sz val="8"/>
        <color indexed="12"/>
        <rFont val="Arial"/>
        <family val="2"/>
      </rPr>
      <t xml:space="preserve"> and SANS 241-2006 Class I)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</si>
  <si>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5</t>
    </r>
  </si>
  <si>
    <r>
      <rPr>
        <b/>
        <u val="single"/>
        <sz val="8"/>
        <color indexed="12"/>
        <rFont val="Arial"/>
        <family val="2"/>
      </rPr>
      <t>&lt;</t>
    </r>
    <r>
      <rPr>
        <b/>
        <sz val="8"/>
        <color indexed="12"/>
        <rFont val="Arial"/>
        <family val="2"/>
      </rPr>
      <t xml:space="preserve"> 150</t>
    </r>
  </si>
  <si>
    <r>
      <rPr>
        <b/>
        <u val="single"/>
        <sz val="8"/>
        <color indexed="12"/>
        <rFont val="Arial"/>
        <family val="2"/>
      </rPr>
      <t>&lt;</t>
    </r>
    <r>
      <rPr>
        <b/>
        <sz val="8"/>
        <color indexed="12"/>
        <rFont val="Arial"/>
        <family val="2"/>
      </rPr>
      <t xml:space="preserve"> 70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</si>
  <si>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2 000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</si>
  <si>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500</t>
    </r>
  </si>
  <si>
    <r>
      <t>&lt;</t>
    </r>
    <r>
      <rPr>
        <sz val="8"/>
        <color indexed="8"/>
        <rFont val="Arial"/>
        <family val="2"/>
      </rPr>
      <t xml:space="preserve"> 20</t>
    </r>
  </si>
  <si>
    <r>
      <t xml:space="preserve">&gt; 0 - </t>
    </r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0.5</t>
    </r>
  </si>
  <si>
    <r>
      <rPr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100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</si>
  <si>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1000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</si>
  <si>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 xml:space="preserve"> 250</t>
    </r>
  </si>
  <si>
    <t>&lt; 10</t>
  </si>
  <si>
    <t>Total Chlorine</t>
  </si>
  <si>
    <t>Dissolved Organic Carbon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</si>
  <si>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200</t>
    </r>
  </si>
  <si>
    <r>
      <rPr>
        <b/>
        <u val="single"/>
        <sz val="8"/>
        <color indexed="12"/>
        <rFont val="Arial"/>
        <family val="2"/>
      </rPr>
      <t>&lt;</t>
    </r>
    <r>
      <rPr>
        <b/>
        <sz val="8"/>
        <color indexed="12"/>
        <rFont val="Arial"/>
        <family val="2"/>
      </rPr>
      <t xml:space="preserve"> 50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</si>
  <si>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300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</si>
  <si>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500</t>
    </r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</si>
  <si>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1.5</t>
    </r>
  </si>
  <si>
    <t xml:space="preserve">mg/L </t>
  </si>
  <si>
    <t>Nickel (as Ni)</t>
  </si>
  <si>
    <t>&lt; 150</t>
  </si>
  <si>
    <t>Cobalt (as Co)</t>
  </si>
  <si>
    <t>Copper (as Cu)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</si>
  <si>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2000</t>
    </r>
  </si>
  <si>
    <t>Chromium (as Cr)</t>
  </si>
  <si>
    <t>&lt; 100</t>
  </si>
  <si>
    <t>Cadmium (as Cd)</t>
  </si>
  <si>
    <t>&lt; 5</t>
  </si>
  <si>
    <t>Lead (as Pb)</t>
  </si>
  <si>
    <t>&lt; 20</t>
  </si>
  <si>
    <t>Cyanide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</si>
  <si>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70</t>
    </r>
  </si>
  <si>
    <t>Arsenic (as As)</t>
  </si>
  <si>
    <t>Mercury (as Hg)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</si>
  <si>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6</t>
    </r>
  </si>
  <si>
    <t>Selenium (as Se)</t>
  </si>
  <si>
    <t>Vanadium (as V)</t>
  </si>
  <si>
    <t>Antimony (as Sb)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</si>
  <si>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20</t>
    </r>
  </si>
  <si>
    <r>
      <rPr>
        <b/>
        <u val="single"/>
        <sz val="8"/>
        <color indexed="17"/>
        <rFont val="Arial"/>
        <family val="2"/>
      </rPr>
      <t>&lt;</t>
    </r>
    <r>
      <rPr>
        <b/>
        <sz val="8"/>
        <color indexed="17"/>
        <rFont val="Arial"/>
        <family val="2"/>
      </rPr>
      <t>500</t>
    </r>
  </si>
  <si>
    <r>
      <t>Sulphate (as SO</t>
    </r>
    <r>
      <rPr>
        <vertAlign val="sub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>)</t>
    </r>
  </si>
  <si>
    <r>
      <t>CaCO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Precipitation Potential</t>
    </r>
  </si>
  <si>
    <r>
      <t>Total Alkalinity (as CaCO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</si>
  <si>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Magnesium Hardness (as CaCO3)</t>
  </si>
  <si>
    <t>Laingsburg</t>
  </si>
  <si>
    <t>Goldnerville House</t>
  </si>
  <si>
    <t>School Tap</t>
  </si>
  <si>
    <t>Goldnerville Res.</t>
  </si>
  <si>
    <t>Bergsig Tap</t>
  </si>
  <si>
    <t>School Res.</t>
  </si>
  <si>
    <t>Main Res.</t>
  </si>
  <si>
    <t>Matjiesfontein</t>
  </si>
  <si>
    <t>Matjiesfontein Tap</t>
  </si>
  <si>
    <t>Jul</t>
  </si>
  <si>
    <t>Aug</t>
  </si>
  <si>
    <t>Sept</t>
  </si>
  <si>
    <t>Oct</t>
  </si>
  <si>
    <t>Nov</t>
  </si>
  <si>
    <t>Dec</t>
  </si>
  <si>
    <t>Jan</t>
  </si>
  <si>
    <t>Febr</t>
  </si>
  <si>
    <t>Mar</t>
  </si>
  <si>
    <t>Apr</t>
  </si>
  <si>
    <t>Jun</t>
  </si>
  <si>
    <r>
      <rPr>
        <u val="single"/>
        <sz val="8"/>
        <color indexed="8"/>
        <rFont val="Arial"/>
        <family val="2"/>
      </rPr>
      <t>&lt;</t>
    </r>
    <r>
      <rPr>
        <sz val="8"/>
        <color indexed="8"/>
        <rFont val="Arial"/>
        <family val="2"/>
      </rPr>
      <t xml:space="preserve"> 11</t>
    </r>
  </si>
  <si>
    <t>Nitrate as N</t>
  </si>
  <si>
    <t>Excellent</t>
  </si>
  <si>
    <t>Unacceptable</t>
  </si>
  <si>
    <t>Good</t>
  </si>
  <si>
    <t>COMPLIANCE SAMPLE RESULTS FOR WATER (July 2014- June 2015)</t>
  </si>
  <si>
    <t>0/07/2014</t>
  </si>
  <si>
    <t>Exellent</t>
  </si>
  <si>
    <t>07/08/2014</t>
  </si>
  <si>
    <t>09/09/2014</t>
  </si>
  <si>
    <t>unacceptable</t>
  </si>
  <si>
    <t>09/10/2014</t>
  </si>
  <si>
    <t>11/12/2014</t>
  </si>
  <si>
    <t>08/11/2014</t>
  </si>
  <si>
    <t>7,4</t>
  </si>
  <si>
    <t>≥ 97%  Excellent, ≥ 95% Good, &lt; 95% Unacceptable</t>
  </si>
  <si>
    <r>
      <t>≥ 95%  Excellent, ≥</t>
    </r>
    <r>
      <rPr>
        <sz val="7.85"/>
        <color indexed="8"/>
        <rFont val="Calibri"/>
        <family val="2"/>
      </rPr>
      <t xml:space="preserve"> 93% Good, &lt;</t>
    </r>
    <r>
      <rPr>
        <sz val="7.7"/>
        <color indexed="8"/>
        <rFont val="Calibri"/>
        <family val="2"/>
      </rPr>
      <t xml:space="preserve"> 93% Unacceptable</t>
    </r>
  </si>
  <si>
    <t>12/01/2015</t>
  </si>
  <si>
    <t>13/02/2015</t>
  </si>
  <si>
    <t>0..6</t>
  </si>
  <si>
    <t>0.379 00</t>
  </si>
  <si>
    <t>Municipal Tap</t>
  </si>
  <si>
    <t>Soutkloof Spring</t>
  </si>
  <si>
    <t>05/03/2015</t>
  </si>
  <si>
    <t>Goldnerville Reservoir</t>
  </si>
  <si>
    <t>09/04/2015</t>
  </si>
  <si>
    <t xml:space="preserve"> Excellent</t>
  </si>
  <si>
    <t>06/05/2015</t>
  </si>
  <si>
    <t>04/06/2015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</si>
</sst>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sz val="7.85"/>
      <color indexed="8"/>
      <name val="Calibri"/>
      <family val="2"/>
    </font>
    <font>
      <sz val="7.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006600"/>
      <name val="Arial"/>
      <family val="2"/>
    </font>
    <font>
      <b/>
      <sz val="8"/>
      <color rgb="FF0000FF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3" fontId="4" fillId="34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183" fontId="4" fillId="36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183" fontId="4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3" fontId="4" fillId="38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7" fillId="34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textRotation="90"/>
    </xf>
    <xf numFmtId="0" fontId="57" fillId="39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83" fontId="57" fillId="40" borderId="10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40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83" fontId="57" fillId="41" borderId="10" xfId="0" applyNumberFormat="1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183" fontId="57" fillId="42" borderId="10" xfId="0" applyNumberFormat="1" applyFont="1" applyFill="1" applyBorder="1" applyAlignment="1">
      <alignment horizontal="center"/>
    </xf>
    <xf numFmtId="0" fontId="58" fillId="42" borderId="10" xfId="0" applyFont="1" applyFill="1" applyBorder="1" applyAlignment="1">
      <alignment horizontal="center"/>
    </xf>
    <xf numFmtId="0" fontId="57" fillId="30" borderId="10" xfId="0" applyFont="1" applyFill="1" applyBorder="1" applyAlignment="1">
      <alignment/>
    </xf>
    <xf numFmtId="0" fontId="59" fillId="30" borderId="10" xfId="0" applyFont="1" applyFill="1" applyBorder="1" applyAlignment="1">
      <alignment horizontal="center"/>
    </xf>
    <xf numFmtId="0" fontId="57" fillId="30" borderId="10" xfId="0" applyFont="1" applyFill="1" applyBorder="1" applyAlignment="1">
      <alignment horizontal="center"/>
    </xf>
    <xf numFmtId="183" fontId="57" fillId="3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60" fillId="0" borderId="11" xfId="0" applyFont="1" applyBorder="1" applyAlignment="1">
      <alignment horizontal="center" vertical="center" textRotation="90" wrapText="1"/>
    </xf>
    <xf numFmtId="0" fontId="57" fillId="37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40" borderId="10" xfId="0" applyFont="1" applyFill="1" applyBorder="1" applyAlignment="1">
      <alignment horizontal="center"/>
    </xf>
    <xf numFmtId="0" fontId="61" fillId="38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3" fontId="4" fillId="35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0" fontId="4" fillId="37" borderId="14" xfId="0" applyFont="1" applyFill="1" applyBorder="1" applyAlignment="1">
      <alignment wrapText="1"/>
    </xf>
    <xf numFmtId="0" fontId="4" fillId="37" borderId="15" xfId="0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6" borderId="13" xfId="0" applyFont="1" applyFill="1" applyBorder="1" applyAlignment="1">
      <alignment wrapText="1"/>
    </xf>
    <xf numFmtId="0" fontId="4" fillId="36" borderId="14" xfId="0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38" borderId="13" xfId="0" applyFont="1" applyFill="1" applyBorder="1" applyAlignment="1">
      <alignment wrapText="1"/>
    </xf>
    <xf numFmtId="0" fontId="4" fillId="38" borderId="14" xfId="0" applyFont="1" applyFill="1" applyBorder="1" applyAlignment="1">
      <alignment wrapText="1"/>
    </xf>
    <xf numFmtId="0" fontId="4" fillId="38" borderId="15" xfId="0" applyFont="1" applyFill="1" applyBorder="1" applyAlignment="1">
      <alignment wrapText="1"/>
    </xf>
    <xf numFmtId="0" fontId="57" fillId="0" borderId="1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0" fillId="0" borderId="12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1"/>
  <sheetViews>
    <sheetView tabSelected="1" zoomScale="98" zoomScaleNormal="98" zoomScaleSheetLayoutView="100" zoomScalePageLayoutView="0" workbookViewId="0" topLeftCell="A1">
      <pane xSplit="2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56" sqref="H56"/>
    </sheetView>
  </sheetViews>
  <sheetFormatPr defaultColWidth="9.140625" defaultRowHeight="12.75"/>
  <cols>
    <col min="1" max="1" width="21.8515625" style="4" customWidth="1"/>
    <col min="2" max="2" width="8.421875" style="26" customWidth="1"/>
    <col min="3" max="3" width="15.8515625" style="4" customWidth="1"/>
    <col min="4" max="4" width="12.8515625" style="26" customWidth="1"/>
    <col min="5" max="5" width="7.00390625" style="26" customWidth="1"/>
    <col min="6" max="6" width="7.8515625" style="26" customWidth="1"/>
    <col min="7" max="7" width="7.421875" style="26" customWidth="1"/>
    <col min="8" max="8" width="11.57421875" style="26" customWidth="1"/>
    <col min="9" max="9" width="9.00390625" style="26" customWidth="1"/>
    <col min="10" max="17" width="5.7109375" style="4" customWidth="1"/>
    <col min="18" max="18" width="6.421875" style="4" customWidth="1"/>
    <col min="19" max="25" width="5.7109375" style="4" customWidth="1"/>
    <col min="26" max="26" width="7.140625" style="4" customWidth="1"/>
    <col min="27" max="54" width="5.7109375" style="4" customWidth="1"/>
    <col min="55" max="55" width="6.7109375" style="4" customWidth="1"/>
    <col min="56" max="58" width="5.7109375" style="4" customWidth="1"/>
    <col min="59" max="59" width="8.140625" style="4" customWidth="1"/>
    <col min="60" max="98" width="5.7109375" style="4" customWidth="1"/>
    <col min="99" max="16384" width="9.140625" style="4" customWidth="1"/>
  </cols>
  <sheetData>
    <row r="1" ht="15.75">
      <c r="A1" s="38" t="s">
        <v>131</v>
      </c>
    </row>
    <row r="2" spans="1:98" s="1" customFormat="1" ht="24.75" customHeight="1">
      <c r="A2" s="94" t="s">
        <v>106</v>
      </c>
      <c r="B2" s="94"/>
      <c r="C2" s="94"/>
      <c r="D2" s="43" t="s">
        <v>60</v>
      </c>
      <c r="E2" s="95" t="s">
        <v>13</v>
      </c>
      <c r="F2" s="96"/>
      <c r="G2" s="96"/>
      <c r="H2" s="96"/>
      <c r="I2" s="97"/>
      <c r="J2" s="125" t="s">
        <v>132</v>
      </c>
      <c r="K2" s="125"/>
      <c r="L2" s="126"/>
      <c r="M2" s="126"/>
      <c r="N2" s="126"/>
      <c r="O2" s="126"/>
      <c r="P2" s="126"/>
      <c r="Q2" s="126"/>
      <c r="R2" s="125" t="s">
        <v>134</v>
      </c>
      <c r="S2" s="126"/>
      <c r="T2" s="126"/>
      <c r="U2" s="126"/>
      <c r="V2" s="126"/>
      <c r="W2" s="126"/>
      <c r="X2" s="126"/>
      <c r="Y2" s="125" t="s">
        <v>135</v>
      </c>
      <c r="Z2" s="125"/>
      <c r="AA2" s="126"/>
      <c r="AB2" s="126"/>
      <c r="AC2" s="126"/>
      <c r="AD2" s="126"/>
      <c r="AE2" s="126"/>
      <c r="AF2" s="126"/>
      <c r="AG2" s="125" t="s">
        <v>137</v>
      </c>
      <c r="AH2" s="125"/>
      <c r="AI2" s="125"/>
      <c r="AJ2" s="126"/>
      <c r="AK2" s="126"/>
      <c r="AL2" s="126"/>
      <c r="AM2" s="126"/>
      <c r="AN2" s="126"/>
      <c r="AO2" s="126"/>
      <c r="AP2" s="125" t="s">
        <v>139</v>
      </c>
      <c r="AQ2" s="126"/>
      <c r="AR2" s="126"/>
      <c r="AS2" s="126"/>
      <c r="AT2" s="126"/>
      <c r="AU2" s="126"/>
      <c r="AV2" s="126"/>
      <c r="AW2" s="127" t="s">
        <v>138</v>
      </c>
      <c r="AX2" s="128"/>
      <c r="AY2" s="128"/>
      <c r="AZ2" s="128"/>
      <c r="BA2" s="128"/>
      <c r="BB2" s="128"/>
      <c r="BC2" s="128"/>
      <c r="BD2" s="125" t="s">
        <v>143</v>
      </c>
      <c r="BE2" s="125"/>
      <c r="BF2" s="126"/>
      <c r="BG2" s="126"/>
      <c r="BH2" s="126"/>
      <c r="BI2" s="126"/>
      <c r="BJ2" s="126"/>
      <c r="BK2" s="126"/>
      <c r="BL2" s="125" t="s">
        <v>144</v>
      </c>
      <c r="BM2" s="126"/>
      <c r="BN2" s="126"/>
      <c r="BO2" s="126"/>
      <c r="BP2" s="126"/>
      <c r="BQ2" s="126"/>
      <c r="BR2" s="126"/>
      <c r="BS2" s="125" t="s">
        <v>149</v>
      </c>
      <c r="BT2" s="126"/>
      <c r="BU2" s="126"/>
      <c r="BV2" s="126"/>
      <c r="BW2" s="126"/>
      <c r="BX2" s="126"/>
      <c r="BY2" s="126"/>
      <c r="BZ2" s="125" t="s">
        <v>151</v>
      </c>
      <c r="CA2" s="126"/>
      <c r="CB2" s="126"/>
      <c r="CC2" s="126"/>
      <c r="CD2" s="126"/>
      <c r="CE2" s="126"/>
      <c r="CF2" s="126"/>
      <c r="CG2" s="125" t="s">
        <v>153</v>
      </c>
      <c r="CH2" s="126"/>
      <c r="CI2" s="126"/>
      <c r="CJ2" s="126"/>
      <c r="CK2" s="126"/>
      <c r="CL2" s="126"/>
      <c r="CM2" s="126"/>
      <c r="CN2" s="125" t="s">
        <v>154</v>
      </c>
      <c r="CO2" s="126"/>
      <c r="CP2" s="126"/>
      <c r="CQ2" s="126"/>
      <c r="CR2" s="126"/>
      <c r="CS2" s="126"/>
      <c r="CT2" s="126"/>
    </row>
    <row r="3" spans="1:98" ht="66.75">
      <c r="A3" s="2" t="s">
        <v>15</v>
      </c>
      <c r="B3" s="2" t="s">
        <v>16</v>
      </c>
      <c r="C3" s="2" t="s">
        <v>17</v>
      </c>
      <c r="D3" s="43" t="s">
        <v>61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74" t="s">
        <v>147</v>
      </c>
      <c r="K3" s="74" t="s">
        <v>148</v>
      </c>
      <c r="L3" s="74" t="s">
        <v>107</v>
      </c>
      <c r="M3" s="74" t="s">
        <v>108</v>
      </c>
      <c r="N3" s="74" t="s">
        <v>109</v>
      </c>
      <c r="O3" s="74" t="s">
        <v>110</v>
      </c>
      <c r="P3" s="74" t="s">
        <v>111</v>
      </c>
      <c r="Q3" s="74" t="s">
        <v>112</v>
      </c>
      <c r="R3" s="74" t="s">
        <v>114</v>
      </c>
      <c r="S3" s="74" t="s">
        <v>107</v>
      </c>
      <c r="T3" s="74" t="s">
        <v>108</v>
      </c>
      <c r="U3" s="74" t="s">
        <v>109</v>
      </c>
      <c r="V3" s="74" t="s">
        <v>110</v>
      </c>
      <c r="W3" s="74" t="s">
        <v>111</v>
      </c>
      <c r="X3" s="74" t="s">
        <v>112</v>
      </c>
      <c r="Y3" s="74" t="s">
        <v>147</v>
      </c>
      <c r="Z3" s="74" t="s">
        <v>114</v>
      </c>
      <c r="AA3" s="74" t="s">
        <v>107</v>
      </c>
      <c r="AB3" s="74" t="s">
        <v>108</v>
      </c>
      <c r="AC3" s="74" t="s">
        <v>109</v>
      </c>
      <c r="AD3" s="74" t="s">
        <v>110</v>
      </c>
      <c r="AE3" s="74" t="s">
        <v>111</v>
      </c>
      <c r="AF3" s="74" t="s">
        <v>112</v>
      </c>
      <c r="AG3" s="74" t="s">
        <v>147</v>
      </c>
      <c r="AH3" s="74" t="s">
        <v>114</v>
      </c>
      <c r="AI3" s="74" t="s">
        <v>148</v>
      </c>
      <c r="AJ3" s="74" t="s">
        <v>107</v>
      </c>
      <c r="AK3" s="74" t="s">
        <v>108</v>
      </c>
      <c r="AL3" s="74" t="s">
        <v>109</v>
      </c>
      <c r="AM3" s="74" t="s">
        <v>110</v>
      </c>
      <c r="AN3" s="74" t="s">
        <v>111</v>
      </c>
      <c r="AO3" s="74" t="s">
        <v>112</v>
      </c>
      <c r="AP3" s="74" t="s">
        <v>114</v>
      </c>
      <c r="AQ3" s="74" t="s">
        <v>107</v>
      </c>
      <c r="AR3" s="74" t="s">
        <v>108</v>
      </c>
      <c r="AS3" s="74" t="s">
        <v>109</v>
      </c>
      <c r="AT3" s="74" t="s">
        <v>110</v>
      </c>
      <c r="AU3" s="74" t="s">
        <v>111</v>
      </c>
      <c r="AV3" s="74" t="s">
        <v>112</v>
      </c>
      <c r="AW3" s="74" t="s">
        <v>114</v>
      </c>
      <c r="AX3" s="74" t="s">
        <v>107</v>
      </c>
      <c r="AY3" s="74" t="s">
        <v>108</v>
      </c>
      <c r="AZ3" s="74" t="s">
        <v>109</v>
      </c>
      <c r="BA3" s="74" t="s">
        <v>110</v>
      </c>
      <c r="BB3" s="74" t="s">
        <v>111</v>
      </c>
      <c r="BC3" s="74" t="s">
        <v>112</v>
      </c>
      <c r="BD3" s="74" t="s">
        <v>114</v>
      </c>
      <c r="BE3" s="74" t="s">
        <v>147</v>
      </c>
      <c r="BF3" s="74" t="s">
        <v>107</v>
      </c>
      <c r="BG3" s="74" t="s">
        <v>108</v>
      </c>
      <c r="BH3" s="74" t="s">
        <v>109</v>
      </c>
      <c r="BI3" s="74" t="s">
        <v>110</v>
      </c>
      <c r="BJ3" s="74" t="s">
        <v>111</v>
      </c>
      <c r="BK3" s="74" t="s">
        <v>112</v>
      </c>
      <c r="BL3" s="74" t="s">
        <v>114</v>
      </c>
      <c r="BM3" s="74" t="s">
        <v>107</v>
      </c>
      <c r="BN3" s="74" t="s">
        <v>108</v>
      </c>
      <c r="BO3" s="74" t="s">
        <v>109</v>
      </c>
      <c r="BP3" s="74" t="s">
        <v>110</v>
      </c>
      <c r="BQ3" s="74" t="s">
        <v>111</v>
      </c>
      <c r="BR3" s="74" t="s">
        <v>112</v>
      </c>
      <c r="BS3" s="74" t="s">
        <v>114</v>
      </c>
      <c r="BT3" s="74" t="s">
        <v>107</v>
      </c>
      <c r="BU3" s="74" t="s">
        <v>108</v>
      </c>
      <c r="BV3" s="74" t="s">
        <v>109</v>
      </c>
      <c r="BW3" s="74" t="s">
        <v>110</v>
      </c>
      <c r="BX3" s="74" t="s">
        <v>111</v>
      </c>
      <c r="BY3" s="74" t="s">
        <v>112</v>
      </c>
      <c r="BZ3" s="74" t="s">
        <v>114</v>
      </c>
      <c r="CA3" s="74" t="s">
        <v>150</v>
      </c>
      <c r="CB3" s="74" t="s">
        <v>108</v>
      </c>
      <c r="CC3" s="74" t="s">
        <v>107</v>
      </c>
      <c r="CD3" s="74" t="s">
        <v>110</v>
      </c>
      <c r="CE3" s="74" t="s">
        <v>111</v>
      </c>
      <c r="CF3" s="74" t="s">
        <v>112</v>
      </c>
      <c r="CG3" s="74" t="s">
        <v>114</v>
      </c>
      <c r="CH3" s="74" t="s">
        <v>107</v>
      </c>
      <c r="CI3" s="74" t="s">
        <v>108</v>
      </c>
      <c r="CJ3" s="74" t="s">
        <v>109</v>
      </c>
      <c r="CK3" s="74" t="s">
        <v>110</v>
      </c>
      <c r="CL3" s="74" t="s">
        <v>111</v>
      </c>
      <c r="CM3" s="74" t="s">
        <v>112</v>
      </c>
      <c r="CN3" s="74" t="s">
        <v>114</v>
      </c>
      <c r="CO3" s="74" t="s">
        <v>107</v>
      </c>
      <c r="CP3" s="74" t="s">
        <v>108</v>
      </c>
      <c r="CQ3" s="74" t="s">
        <v>109</v>
      </c>
      <c r="CR3" s="74" t="s">
        <v>110</v>
      </c>
      <c r="CS3" s="74" t="s">
        <v>111</v>
      </c>
      <c r="CT3" s="74" t="s">
        <v>112</v>
      </c>
    </row>
    <row r="4" spans="1:98" ht="11.25">
      <c r="A4" s="5" t="s">
        <v>23</v>
      </c>
      <c r="B4" s="6" t="s">
        <v>24</v>
      </c>
      <c r="C4" s="7"/>
      <c r="D4" s="8" t="s">
        <v>26</v>
      </c>
      <c r="E4" s="8">
        <f>COUNTA(J4:CT4)</f>
        <v>56</v>
      </c>
      <c r="F4" s="33">
        <v>48</v>
      </c>
      <c r="G4" s="9">
        <f>F4/E4</f>
        <v>0.8571428571428571</v>
      </c>
      <c r="H4" s="40" t="s">
        <v>152</v>
      </c>
      <c r="I4" s="10">
        <f>+AVERAGE(J4:CT4)</f>
        <v>7.833749999999997</v>
      </c>
      <c r="J4" s="31">
        <v>8</v>
      </c>
      <c r="K4" s="31">
        <v>7.8</v>
      </c>
      <c r="L4" s="31">
        <v>8</v>
      </c>
      <c r="M4" s="31">
        <v>7.7</v>
      </c>
      <c r="N4" s="31">
        <v>7.9</v>
      </c>
      <c r="O4" s="31">
        <v>7.8</v>
      </c>
      <c r="P4" s="31">
        <v>8.1</v>
      </c>
      <c r="Q4" s="31">
        <v>7.8</v>
      </c>
      <c r="R4" s="31"/>
      <c r="S4" s="31"/>
      <c r="T4" s="31">
        <v>7.5</v>
      </c>
      <c r="U4" s="31">
        <v>7.9</v>
      </c>
      <c r="V4" s="31">
        <v>7.5</v>
      </c>
      <c r="W4" s="31"/>
      <c r="X4" s="31">
        <v>7.6</v>
      </c>
      <c r="Y4" s="31">
        <v>7.9</v>
      </c>
      <c r="Z4" s="31"/>
      <c r="AA4" s="31"/>
      <c r="AB4" s="31"/>
      <c r="AC4" s="31">
        <v>7.9</v>
      </c>
      <c r="AD4" s="31">
        <v>7.8</v>
      </c>
      <c r="AE4" s="31"/>
      <c r="AF4" s="31">
        <v>7.8</v>
      </c>
      <c r="AG4" s="31">
        <v>8.1</v>
      </c>
      <c r="AH4" s="31"/>
      <c r="AI4" s="31">
        <v>7.9</v>
      </c>
      <c r="AJ4" s="31">
        <v>8</v>
      </c>
      <c r="AK4" s="31">
        <v>7.9</v>
      </c>
      <c r="AL4" s="31">
        <v>8</v>
      </c>
      <c r="AM4" s="31">
        <v>7.9</v>
      </c>
      <c r="AN4" s="31">
        <v>8.2</v>
      </c>
      <c r="AO4" s="31">
        <v>7.9</v>
      </c>
      <c r="AP4" s="31"/>
      <c r="AQ4" s="31"/>
      <c r="AR4" s="31"/>
      <c r="AS4" s="31">
        <v>7.7</v>
      </c>
      <c r="AT4" s="31">
        <v>7.6</v>
      </c>
      <c r="AU4" s="31">
        <v>7.8</v>
      </c>
      <c r="AV4" s="31">
        <v>7.4</v>
      </c>
      <c r="AW4" s="31"/>
      <c r="AX4" s="31"/>
      <c r="AY4" s="31"/>
      <c r="AZ4" s="31">
        <v>7.7</v>
      </c>
      <c r="BA4" s="31">
        <v>7.6</v>
      </c>
      <c r="BB4" s="31">
        <v>7.9</v>
      </c>
      <c r="BC4" s="31">
        <v>7.6</v>
      </c>
      <c r="BD4" s="31"/>
      <c r="BE4" s="31"/>
      <c r="BF4" s="31"/>
      <c r="BG4" s="31"/>
      <c r="BH4" s="31">
        <v>7.9</v>
      </c>
      <c r="BI4" s="31">
        <v>7.9</v>
      </c>
      <c r="BJ4" s="31">
        <v>8</v>
      </c>
      <c r="BK4" s="31">
        <v>7.9</v>
      </c>
      <c r="BL4" s="31"/>
      <c r="BM4" s="31"/>
      <c r="BN4" s="31"/>
      <c r="BO4" s="31">
        <v>7.8</v>
      </c>
      <c r="BP4" s="31">
        <v>7.7</v>
      </c>
      <c r="BQ4" s="31">
        <v>7.8</v>
      </c>
      <c r="BR4" s="31">
        <v>7.7</v>
      </c>
      <c r="BS4" s="31"/>
      <c r="BT4" s="31"/>
      <c r="BU4" s="31"/>
      <c r="BV4" s="31">
        <v>8.2</v>
      </c>
      <c r="BW4" s="31">
        <v>8</v>
      </c>
      <c r="BX4" s="31">
        <v>8.3</v>
      </c>
      <c r="BY4" s="31">
        <v>8</v>
      </c>
      <c r="BZ4" s="31"/>
      <c r="CA4" s="31">
        <v>7.84</v>
      </c>
      <c r="CB4" s="31"/>
      <c r="CC4" s="31"/>
      <c r="CD4" s="31">
        <v>7.54</v>
      </c>
      <c r="CE4" s="31">
        <v>7.94</v>
      </c>
      <c r="CF4" s="31">
        <v>7.53</v>
      </c>
      <c r="CG4" s="31"/>
      <c r="CH4" s="31"/>
      <c r="CI4" s="31"/>
      <c r="CJ4" s="31">
        <v>7.9</v>
      </c>
      <c r="CK4" s="31">
        <v>7.8</v>
      </c>
      <c r="CL4" s="31">
        <v>8.1</v>
      </c>
      <c r="CM4" s="31">
        <v>7.7</v>
      </c>
      <c r="CN4" s="31"/>
      <c r="CO4" s="31"/>
      <c r="CP4" s="31"/>
      <c r="CQ4" s="31">
        <v>7.71</v>
      </c>
      <c r="CR4" s="31">
        <v>7.7</v>
      </c>
      <c r="CS4" s="31">
        <v>7.9</v>
      </c>
      <c r="CT4" s="31">
        <v>7.63</v>
      </c>
    </row>
    <row r="5" spans="1:98" ht="11.25">
      <c r="A5" s="66" t="s">
        <v>27</v>
      </c>
      <c r="B5" s="11" t="s">
        <v>28</v>
      </c>
      <c r="C5" s="12" t="s">
        <v>29</v>
      </c>
      <c r="D5" s="13" t="s">
        <v>30</v>
      </c>
      <c r="E5" s="13">
        <f>COUNTA(J5:CT5)</f>
        <v>56</v>
      </c>
      <c r="F5" s="41">
        <f>COUNTIF(J5:CT5,"&lt;=170")</f>
        <v>52</v>
      </c>
      <c r="G5" s="14">
        <f>F5/E5</f>
        <v>0.9285714285714286</v>
      </c>
      <c r="H5" s="41" t="s">
        <v>136</v>
      </c>
      <c r="I5" s="10">
        <f>+AVERAGE(J5:CT5)</f>
        <v>135.70535714285714</v>
      </c>
      <c r="J5" s="32">
        <v>120</v>
      </c>
      <c r="K5" s="32">
        <v>116</v>
      </c>
      <c r="L5" s="32">
        <v>124</v>
      </c>
      <c r="M5" s="32">
        <v>121</v>
      </c>
      <c r="N5" s="32">
        <v>121</v>
      </c>
      <c r="O5" s="32">
        <v>117</v>
      </c>
      <c r="P5" s="32">
        <v>120</v>
      </c>
      <c r="Q5" s="32">
        <v>116</v>
      </c>
      <c r="R5" s="32"/>
      <c r="S5" s="32"/>
      <c r="T5" s="32">
        <v>117</v>
      </c>
      <c r="U5" s="32">
        <v>114</v>
      </c>
      <c r="V5" s="32">
        <v>117.5</v>
      </c>
      <c r="W5" s="32"/>
      <c r="X5" s="32">
        <v>118</v>
      </c>
      <c r="Y5" s="32">
        <v>181</v>
      </c>
      <c r="Z5" s="32"/>
      <c r="AA5" s="32"/>
      <c r="AB5" s="32"/>
      <c r="AC5" s="32">
        <v>182</v>
      </c>
      <c r="AD5" s="32">
        <v>202</v>
      </c>
      <c r="AE5" s="32"/>
      <c r="AF5" s="32">
        <v>198</v>
      </c>
      <c r="AG5" s="32">
        <v>133</v>
      </c>
      <c r="AH5" s="32"/>
      <c r="AI5" s="32">
        <v>140</v>
      </c>
      <c r="AJ5" s="32">
        <v>128</v>
      </c>
      <c r="AK5" s="32">
        <v>135</v>
      </c>
      <c r="AL5" s="32">
        <v>131</v>
      </c>
      <c r="AM5" s="32">
        <v>139</v>
      </c>
      <c r="AN5" s="32">
        <v>129</v>
      </c>
      <c r="AO5" s="32">
        <v>139</v>
      </c>
      <c r="AP5" s="32"/>
      <c r="AQ5" s="32"/>
      <c r="AR5" s="32"/>
      <c r="AS5" s="32">
        <v>146</v>
      </c>
      <c r="AT5" s="32">
        <v>144</v>
      </c>
      <c r="AU5" s="32">
        <v>134</v>
      </c>
      <c r="AV5" s="32">
        <v>146</v>
      </c>
      <c r="AW5" s="32"/>
      <c r="AX5" s="32"/>
      <c r="AY5" s="32"/>
      <c r="AZ5" s="32">
        <v>150</v>
      </c>
      <c r="BA5" s="32">
        <v>139</v>
      </c>
      <c r="BB5" s="32">
        <v>127</v>
      </c>
      <c r="BC5" s="32">
        <v>150</v>
      </c>
      <c r="BD5" s="32"/>
      <c r="BE5" s="32"/>
      <c r="BF5" s="32"/>
      <c r="BG5" s="32"/>
      <c r="BH5" s="32">
        <v>125</v>
      </c>
      <c r="BI5" s="32">
        <v>138</v>
      </c>
      <c r="BJ5" s="32">
        <v>134</v>
      </c>
      <c r="BK5" s="32">
        <v>135</v>
      </c>
      <c r="BL5" s="32"/>
      <c r="BM5" s="32"/>
      <c r="BN5" s="32"/>
      <c r="BO5" s="32">
        <v>142</v>
      </c>
      <c r="BP5" s="32">
        <v>138</v>
      </c>
      <c r="BQ5" s="32">
        <v>144</v>
      </c>
      <c r="BR5" s="32">
        <v>136</v>
      </c>
      <c r="BS5" s="32"/>
      <c r="BT5" s="32"/>
      <c r="BU5" s="32"/>
      <c r="BV5" s="32">
        <v>150</v>
      </c>
      <c r="BW5" s="32">
        <v>135</v>
      </c>
      <c r="BX5" s="32">
        <v>139</v>
      </c>
      <c r="BY5" s="32">
        <v>135</v>
      </c>
      <c r="BZ5" s="32"/>
      <c r="CA5" s="32">
        <v>133</v>
      </c>
      <c r="CB5" s="32"/>
      <c r="CC5" s="32"/>
      <c r="CD5" s="32">
        <v>137</v>
      </c>
      <c r="CE5" s="32">
        <v>132</v>
      </c>
      <c r="CF5" s="32">
        <v>135</v>
      </c>
      <c r="CG5" s="32"/>
      <c r="CH5" s="32"/>
      <c r="CI5" s="32"/>
      <c r="CJ5" s="32">
        <v>61</v>
      </c>
      <c r="CK5" s="32">
        <v>137</v>
      </c>
      <c r="CL5" s="32">
        <v>132</v>
      </c>
      <c r="CM5" s="32">
        <v>136</v>
      </c>
      <c r="CN5" s="32"/>
      <c r="CO5" s="32"/>
      <c r="CP5" s="32"/>
      <c r="CQ5" s="32">
        <v>142</v>
      </c>
      <c r="CR5" s="32">
        <v>133</v>
      </c>
      <c r="CS5" s="32">
        <v>141</v>
      </c>
      <c r="CT5" s="32">
        <v>135</v>
      </c>
    </row>
    <row r="6" spans="1:98" ht="11.25">
      <c r="A6" s="72" t="s">
        <v>54</v>
      </c>
      <c r="B6" s="30"/>
      <c r="C6" s="5"/>
      <c r="D6" s="6" t="s">
        <v>12</v>
      </c>
      <c r="E6" s="6"/>
      <c r="F6" s="70"/>
      <c r="G6" s="17"/>
      <c r="H6" s="70"/>
      <c r="I6" s="1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</row>
    <row r="7" spans="1:98" ht="11.25" customHeight="1">
      <c r="A7" s="98" t="s">
        <v>31</v>
      </c>
      <c r="B7" s="99" t="s">
        <v>32</v>
      </c>
      <c r="C7" s="7" t="s">
        <v>25</v>
      </c>
      <c r="D7" s="8" t="s">
        <v>33</v>
      </c>
      <c r="E7" s="8">
        <f>COUNTA(J7:CT7)</f>
        <v>55</v>
      </c>
      <c r="F7" s="8">
        <f>COUNTIF(J7:CT7,"&lt;=1")</f>
        <v>50</v>
      </c>
      <c r="G7" s="9">
        <f aca="true" t="shared" si="0" ref="G7:G49">F7/E7</f>
        <v>0.9090909090909091</v>
      </c>
      <c r="H7" s="78" t="s">
        <v>136</v>
      </c>
      <c r="I7" s="100" t="s">
        <v>146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1.95</v>
      </c>
      <c r="P7" s="87">
        <v>0</v>
      </c>
      <c r="Q7" s="87">
        <v>0</v>
      </c>
      <c r="R7" s="87"/>
      <c r="S7" s="87"/>
      <c r="T7" s="87"/>
      <c r="U7" s="87">
        <v>0</v>
      </c>
      <c r="V7" s="87">
        <v>0</v>
      </c>
      <c r="W7" s="87"/>
      <c r="X7" s="87">
        <v>0</v>
      </c>
      <c r="Y7" s="87">
        <v>0</v>
      </c>
      <c r="Z7" s="87"/>
      <c r="AA7" s="87"/>
      <c r="AB7" s="87"/>
      <c r="AC7" s="87">
        <v>0</v>
      </c>
      <c r="AD7" s="87">
        <v>0</v>
      </c>
      <c r="AE7" s="87"/>
      <c r="AF7" s="87">
        <v>0</v>
      </c>
      <c r="AG7" s="87">
        <v>0</v>
      </c>
      <c r="AH7" s="87"/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/>
      <c r="AQ7" s="87"/>
      <c r="AR7" s="87"/>
      <c r="AS7" s="87">
        <v>1.21</v>
      </c>
      <c r="AT7" s="87">
        <v>5.04</v>
      </c>
      <c r="AU7" s="87">
        <v>0</v>
      </c>
      <c r="AV7" s="87">
        <v>2</v>
      </c>
      <c r="AW7" s="87"/>
      <c r="AX7" s="87"/>
      <c r="AY7" s="87"/>
      <c r="AZ7" s="87">
        <v>0</v>
      </c>
      <c r="BA7" s="87">
        <v>0</v>
      </c>
      <c r="BB7" s="87">
        <v>2.46</v>
      </c>
      <c r="BC7" s="87">
        <v>0.58</v>
      </c>
      <c r="BD7" s="87"/>
      <c r="BE7" s="86"/>
      <c r="BF7" s="87"/>
      <c r="BG7" s="87"/>
      <c r="BH7" s="87">
        <v>0</v>
      </c>
      <c r="BI7" s="87">
        <v>0</v>
      </c>
      <c r="BJ7" s="87">
        <v>0</v>
      </c>
      <c r="BK7" s="87">
        <v>0.39</v>
      </c>
      <c r="BL7" s="87"/>
      <c r="BM7" s="87"/>
      <c r="BN7" s="87"/>
      <c r="BO7" s="87">
        <v>0</v>
      </c>
      <c r="BP7" s="87">
        <v>0</v>
      </c>
      <c r="BQ7" s="87">
        <v>0</v>
      </c>
      <c r="BR7" s="87">
        <v>0</v>
      </c>
      <c r="BS7" s="87"/>
      <c r="BT7" s="87"/>
      <c r="BU7" s="87"/>
      <c r="BV7" s="87">
        <v>0</v>
      </c>
      <c r="BW7" s="87">
        <v>0</v>
      </c>
      <c r="BX7" s="87">
        <v>0</v>
      </c>
      <c r="BY7" s="87">
        <v>0</v>
      </c>
      <c r="BZ7" s="87"/>
      <c r="CA7" s="87">
        <v>0</v>
      </c>
      <c r="CB7" s="87"/>
      <c r="CC7" s="87"/>
      <c r="CD7" s="87">
        <v>0</v>
      </c>
      <c r="CE7" s="87">
        <v>0</v>
      </c>
      <c r="CF7" s="87">
        <v>0</v>
      </c>
      <c r="CG7" s="87"/>
      <c r="CH7" s="87"/>
      <c r="CI7" s="87"/>
      <c r="CJ7" s="87">
        <v>0</v>
      </c>
      <c r="CK7" s="87">
        <v>0.26</v>
      </c>
      <c r="CL7" s="87">
        <v>0</v>
      </c>
      <c r="CM7" s="87">
        <v>0</v>
      </c>
      <c r="CN7" s="87"/>
      <c r="CO7" s="87"/>
      <c r="CP7" s="87"/>
      <c r="CQ7" s="87">
        <v>0</v>
      </c>
      <c r="CR7" s="87">
        <v>0</v>
      </c>
      <c r="CS7" s="87">
        <v>0</v>
      </c>
      <c r="CT7" s="87">
        <v>0</v>
      </c>
    </row>
    <row r="8" spans="1:98" ht="11.25" customHeight="1">
      <c r="A8" s="98"/>
      <c r="B8" s="99"/>
      <c r="C8" s="12" t="s">
        <v>29</v>
      </c>
      <c r="D8" s="44" t="s">
        <v>62</v>
      </c>
      <c r="E8" s="13">
        <f>COUNTA(J8:CT8)</f>
        <v>55</v>
      </c>
      <c r="F8" s="13">
        <f>COUNTIF(J8:CT8,"&lt;=5")</f>
        <v>54</v>
      </c>
      <c r="G8" s="14">
        <f t="shared" si="0"/>
        <v>0.9818181818181818</v>
      </c>
      <c r="H8" s="41" t="s">
        <v>133</v>
      </c>
      <c r="I8" s="101"/>
      <c r="J8" s="89">
        <v>0</v>
      </c>
      <c r="K8" s="88">
        <v>0</v>
      </c>
      <c r="L8" s="89">
        <v>0</v>
      </c>
      <c r="M8" s="89">
        <v>0</v>
      </c>
      <c r="N8" s="89">
        <v>0</v>
      </c>
      <c r="O8" s="89">
        <v>1.95</v>
      </c>
      <c r="P8" s="89">
        <v>0</v>
      </c>
      <c r="Q8" s="89">
        <v>0</v>
      </c>
      <c r="R8" s="89"/>
      <c r="S8" s="89"/>
      <c r="T8" s="89"/>
      <c r="U8" s="89">
        <v>0</v>
      </c>
      <c r="V8" s="89">
        <v>0</v>
      </c>
      <c r="W8" s="89"/>
      <c r="X8" s="89">
        <v>0</v>
      </c>
      <c r="Y8" s="89">
        <v>0</v>
      </c>
      <c r="Z8" s="88"/>
      <c r="AA8" s="89"/>
      <c r="AB8" s="89"/>
      <c r="AC8" s="89">
        <v>0</v>
      </c>
      <c r="AD8" s="89">
        <v>0</v>
      </c>
      <c r="AE8" s="89"/>
      <c r="AF8" s="89">
        <v>0</v>
      </c>
      <c r="AG8" s="89">
        <v>0</v>
      </c>
      <c r="AH8" s="88"/>
      <c r="AI8" s="88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/>
      <c r="AQ8" s="89"/>
      <c r="AR8" s="89"/>
      <c r="AS8" s="89">
        <v>1.21</v>
      </c>
      <c r="AT8" s="89">
        <v>5.04</v>
      </c>
      <c r="AU8" s="89">
        <v>0</v>
      </c>
      <c r="AV8" s="89">
        <v>2</v>
      </c>
      <c r="AW8" s="89"/>
      <c r="AX8" s="89"/>
      <c r="AY8" s="89"/>
      <c r="AZ8" s="89">
        <v>0</v>
      </c>
      <c r="BA8" s="89">
        <v>0</v>
      </c>
      <c r="BB8" s="89">
        <v>2.46</v>
      </c>
      <c r="BC8" s="89">
        <v>0.58</v>
      </c>
      <c r="BD8" s="89"/>
      <c r="BE8" s="90"/>
      <c r="BF8" s="89"/>
      <c r="BG8" s="89"/>
      <c r="BH8" s="89">
        <v>0</v>
      </c>
      <c r="BI8" s="89">
        <v>0</v>
      </c>
      <c r="BJ8" s="89">
        <v>0</v>
      </c>
      <c r="BK8" s="89">
        <v>0.39</v>
      </c>
      <c r="BL8" s="89"/>
      <c r="BM8" s="89"/>
      <c r="BN8" s="89"/>
      <c r="BO8" s="89">
        <v>0</v>
      </c>
      <c r="BP8" s="89">
        <v>0</v>
      </c>
      <c r="BQ8" s="89">
        <v>0</v>
      </c>
      <c r="BR8" s="89">
        <v>0</v>
      </c>
      <c r="BS8" s="89"/>
      <c r="BT8" s="89"/>
      <c r="BU8" s="89"/>
      <c r="BV8" s="89">
        <v>0</v>
      </c>
      <c r="BW8" s="89">
        <v>0</v>
      </c>
      <c r="BX8" s="89">
        <v>0</v>
      </c>
      <c r="BY8" s="89">
        <v>0</v>
      </c>
      <c r="BZ8" s="89"/>
      <c r="CA8" s="89">
        <v>0</v>
      </c>
      <c r="CB8" s="89"/>
      <c r="CC8" s="89"/>
      <c r="CD8" s="89">
        <v>0</v>
      </c>
      <c r="CE8" s="89">
        <v>0</v>
      </c>
      <c r="CF8" s="89">
        <v>0</v>
      </c>
      <c r="CG8" s="89"/>
      <c r="CH8" s="89"/>
      <c r="CI8" s="89"/>
      <c r="CJ8" s="89">
        <v>0</v>
      </c>
      <c r="CK8" s="89">
        <v>0.26</v>
      </c>
      <c r="CL8" s="89">
        <v>0</v>
      </c>
      <c r="CM8" s="89">
        <v>0</v>
      </c>
      <c r="CN8" s="89"/>
      <c r="CO8" s="89"/>
      <c r="CP8" s="89"/>
      <c r="CQ8" s="89">
        <v>0</v>
      </c>
      <c r="CR8" s="89">
        <v>0</v>
      </c>
      <c r="CS8" s="89">
        <v>0</v>
      </c>
      <c r="CT8" s="89">
        <v>0</v>
      </c>
    </row>
    <row r="9" spans="1:98" ht="11.25" customHeight="1">
      <c r="A9" s="16" t="s">
        <v>34</v>
      </c>
      <c r="B9" s="11" t="s">
        <v>35</v>
      </c>
      <c r="C9" s="12" t="s">
        <v>29</v>
      </c>
      <c r="D9" s="35" t="s">
        <v>67</v>
      </c>
      <c r="E9" s="13">
        <v>3</v>
      </c>
      <c r="F9" s="13">
        <v>3</v>
      </c>
      <c r="G9" s="14">
        <f t="shared" si="0"/>
        <v>1</v>
      </c>
      <c r="H9" s="41" t="s">
        <v>133</v>
      </c>
      <c r="I9" s="10">
        <v>0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</row>
    <row r="10" spans="1:98" ht="11.25" customHeight="1">
      <c r="A10" s="67" t="s">
        <v>103</v>
      </c>
      <c r="B10" s="11"/>
      <c r="C10" s="5"/>
      <c r="D10" s="6" t="s">
        <v>12</v>
      </c>
      <c r="E10" s="6">
        <v>0</v>
      </c>
      <c r="F10" s="70"/>
      <c r="G10" s="17" t="e">
        <f t="shared" si="0"/>
        <v>#DIV/0!</v>
      </c>
      <c r="H10" s="70"/>
      <c r="I10" s="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</row>
    <row r="11" spans="1:98" ht="11.25" customHeight="1">
      <c r="A11" s="67" t="s">
        <v>104</v>
      </c>
      <c r="B11" s="11"/>
      <c r="C11" s="16"/>
      <c r="D11" s="6" t="s">
        <v>12</v>
      </c>
      <c r="E11" s="6">
        <f aca="true" t="shared" si="1" ref="E11:E18">COUNTA(J11:CT11)</f>
        <v>0</v>
      </c>
      <c r="F11" s="70"/>
      <c r="G11" s="17" t="e">
        <f t="shared" si="0"/>
        <v>#DIV/0!</v>
      </c>
      <c r="H11" s="70"/>
      <c r="I11" s="1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</row>
    <row r="12" spans="1:98" ht="11.25">
      <c r="A12" s="16" t="s">
        <v>36</v>
      </c>
      <c r="B12" s="11"/>
      <c r="C12" s="16"/>
      <c r="D12" s="6" t="s">
        <v>12</v>
      </c>
      <c r="E12" s="6">
        <f t="shared" si="1"/>
        <v>0</v>
      </c>
      <c r="F12" s="6"/>
      <c r="G12" s="17" t="e">
        <f t="shared" si="0"/>
        <v>#DIV/0!</v>
      </c>
      <c r="H12" s="70"/>
      <c r="I12" s="10"/>
      <c r="J12" s="31"/>
      <c r="K12" s="31"/>
      <c r="L12" s="31"/>
      <c r="M12" s="31"/>
      <c r="N12" s="31"/>
      <c r="O12" s="31"/>
      <c r="P12" s="3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31"/>
      <c r="CQ12" s="31"/>
      <c r="CR12" s="31"/>
      <c r="CS12" s="31"/>
      <c r="CT12" s="31"/>
    </row>
    <row r="13" spans="1:98" ht="11.25">
      <c r="A13" s="16" t="s">
        <v>37</v>
      </c>
      <c r="B13" s="11"/>
      <c r="C13" s="16"/>
      <c r="D13" s="6" t="s">
        <v>12</v>
      </c>
      <c r="E13" s="6">
        <f t="shared" si="1"/>
        <v>0</v>
      </c>
      <c r="F13" s="6"/>
      <c r="G13" s="17" t="e">
        <f t="shared" si="0"/>
        <v>#DIV/0!</v>
      </c>
      <c r="H13" s="70"/>
      <c r="I13" s="1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15"/>
      <c r="CQ13" s="15"/>
      <c r="CR13" s="15"/>
      <c r="CS13" s="15"/>
      <c r="CT13" s="15"/>
    </row>
    <row r="14" spans="1:98" ht="11.25">
      <c r="A14" s="16" t="s">
        <v>0</v>
      </c>
      <c r="B14" s="11" t="s">
        <v>38</v>
      </c>
      <c r="C14" s="12" t="s">
        <v>39</v>
      </c>
      <c r="D14" s="45" t="s">
        <v>63</v>
      </c>
      <c r="E14" s="13">
        <f t="shared" si="1"/>
        <v>3</v>
      </c>
      <c r="F14" s="18">
        <f>COUNTIF(J14:CT14,"&lt;=150")</f>
        <v>3</v>
      </c>
      <c r="G14" s="84">
        <f t="shared" si="0"/>
        <v>1</v>
      </c>
      <c r="H14" s="41" t="s">
        <v>133</v>
      </c>
      <c r="I14" s="10">
        <f>+AVERAGE(J14:CT14)</f>
        <v>73.16666666666667</v>
      </c>
      <c r="J14" s="31"/>
      <c r="K14" s="31"/>
      <c r="L14" s="31"/>
      <c r="M14" s="31"/>
      <c r="N14" s="31"/>
      <c r="O14" s="31"/>
      <c r="P14" s="31"/>
      <c r="Q14" s="15"/>
      <c r="R14" s="15"/>
      <c r="S14" s="15"/>
      <c r="T14" s="15"/>
      <c r="U14" s="15">
        <v>73.29</v>
      </c>
      <c r="V14" s="15">
        <v>73.13</v>
      </c>
      <c r="W14" s="15"/>
      <c r="X14" s="15">
        <v>73.08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31"/>
      <c r="CQ14" s="31"/>
      <c r="CR14" s="31"/>
      <c r="CS14" s="31"/>
      <c r="CT14" s="31"/>
    </row>
    <row r="15" spans="1:98" ht="11.25">
      <c r="A15" s="73" t="s">
        <v>105</v>
      </c>
      <c r="B15" s="11"/>
      <c r="C15" s="16"/>
      <c r="D15" s="6" t="s">
        <v>12</v>
      </c>
      <c r="E15" s="6">
        <f t="shared" si="1"/>
        <v>0</v>
      </c>
      <c r="F15" s="6"/>
      <c r="G15" s="17" t="e">
        <f t="shared" si="0"/>
        <v>#DIV/0!</v>
      </c>
      <c r="H15" s="70"/>
      <c r="I15" s="1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15"/>
      <c r="CQ15" s="15"/>
      <c r="CR15" s="15"/>
      <c r="CS15" s="15"/>
      <c r="CT15" s="15"/>
    </row>
    <row r="16" spans="1:98" ht="11.25">
      <c r="A16" s="16" t="s">
        <v>1</v>
      </c>
      <c r="B16" s="11" t="s">
        <v>38</v>
      </c>
      <c r="C16" s="12" t="s">
        <v>40</v>
      </c>
      <c r="D16" s="46" t="s">
        <v>64</v>
      </c>
      <c r="E16" s="35">
        <f>COUNTA(J16:CT16)</f>
        <v>3</v>
      </c>
      <c r="F16" s="18">
        <f>COUNTIF(J16:CT16,"&lt;=70")</f>
        <v>3</v>
      </c>
      <c r="G16" s="14">
        <f t="shared" si="0"/>
        <v>1</v>
      </c>
      <c r="H16" s="41" t="s">
        <v>133</v>
      </c>
      <c r="I16" s="10">
        <f>+AVERAGE(J16:CT16)</f>
        <v>27.343333333333334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>
        <v>27.13</v>
      </c>
      <c r="V16" s="31">
        <v>27.41</v>
      </c>
      <c r="W16" s="31"/>
      <c r="X16" s="31">
        <v>27.49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</row>
    <row r="17" spans="1:98" ht="11.25">
      <c r="A17" s="67" t="s">
        <v>6</v>
      </c>
      <c r="B17" s="11" t="s">
        <v>38</v>
      </c>
      <c r="C17" s="19" t="s">
        <v>43</v>
      </c>
      <c r="D17" s="20" t="s">
        <v>44</v>
      </c>
      <c r="E17" s="20">
        <f t="shared" si="1"/>
        <v>47</v>
      </c>
      <c r="F17" s="71">
        <f>COUNTIF(J17:CT17,"&lt;=1,5")</f>
        <v>46</v>
      </c>
      <c r="G17" s="21">
        <f t="shared" si="0"/>
        <v>0.9787234042553191</v>
      </c>
      <c r="H17" s="71" t="s">
        <v>133</v>
      </c>
      <c r="I17" s="10">
        <f>+AVERAGE(J17:CT17)</f>
        <v>0.7904347826086958</v>
      </c>
      <c r="J17" s="31"/>
      <c r="K17" s="31"/>
      <c r="L17" s="31"/>
      <c r="M17" s="31"/>
      <c r="N17" s="31"/>
      <c r="O17" s="31"/>
      <c r="P17" s="31"/>
      <c r="Q17" s="32"/>
      <c r="R17" s="32"/>
      <c r="S17" s="32"/>
      <c r="T17" s="32"/>
      <c r="U17" s="32">
        <v>0.71</v>
      </c>
      <c r="V17" s="32">
        <v>0.79</v>
      </c>
      <c r="W17" s="32"/>
      <c r="X17" s="32">
        <v>0.82</v>
      </c>
      <c r="Y17" s="32">
        <v>0.58</v>
      </c>
      <c r="Z17" s="32"/>
      <c r="AA17" s="32"/>
      <c r="AB17" s="32"/>
      <c r="AC17" s="32">
        <v>0.65</v>
      </c>
      <c r="AD17" s="32">
        <v>0.86</v>
      </c>
      <c r="AE17" s="32"/>
      <c r="AF17" s="32">
        <v>0.82</v>
      </c>
      <c r="AG17" s="32">
        <v>0.81</v>
      </c>
      <c r="AH17" s="32"/>
      <c r="AI17" s="32">
        <v>0.9</v>
      </c>
      <c r="AJ17" s="32">
        <v>0.85</v>
      </c>
      <c r="AK17" s="32">
        <v>0.88</v>
      </c>
      <c r="AL17" s="32">
        <v>0.77</v>
      </c>
      <c r="AM17" s="32">
        <v>0.86</v>
      </c>
      <c r="AN17" s="32">
        <v>0.81</v>
      </c>
      <c r="AO17" s="32">
        <v>0.87</v>
      </c>
      <c r="AP17" s="32"/>
      <c r="AQ17" s="32"/>
      <c r="AR17" s="32"/>
      <c r="AS17" s="32">
        <v>0.7</v>
      </c>
      <c r="AT17" s="32">
        <v>0.8</v>
      </c>
      <c r="AU17" s="32">
        <v>0.6</v>
      </c>
      <c r="AV17" s="32">
        <v>0.8</v>
      </c>
      <c r="AW17" s="32"/>
      <c r="AX17" s="32"/>
      <c r="AY17" s="32"/>
      <c r="AZ17" s="32">
        <v>0</v>
      </c>
      <c r="BA17" s="32">
        <v>0</v>
      </c>
      <c r="BB17" s="32">
        <v>0</v>
      </c>
      <c r="BC17" s="32">
        <v>0</v>
      </c>
      <c r="BD17" s="32"/>
      <c r="BE17" s="32"/>
      <c r="BF17" s="32"/>
      <c r="BG17" s="32"/>
      <c r="BH17" s="32">
        <v>0.8</v>
      </c>
      <c r="BI17" s="32">
        <v>1</v>
      </c>
      <c r="BJ17" s="32">
        <v>0.9</v>
      </c>
      <c r="BK17" s="32">
        <v>1</v>
      </c>
      <c r="BL17" s="32"/>
      <c r="BM17" s="32"/>
      <c r="BN17" s="32"/>
      <c r="BO17" s="32" t="s">
        <v>145</v>
      </c>
      <c r="BP17" s="32">
        <v>0.9</v>
      </c>
      <c r="BQ17" s="32">
        <v>0.9</v>
      </c>
      <c r="BR17" s="32">
        <v>0.8</v>
      </c>
      <c r="BS17" s="32"/>
      <c r="BT17" s="32"/>
      <c r="BU17" s="32"/>
      <c r="BV17" s="32">
        <v>0.8</v>
      </c>
      <c r="BW17" s="32">
        <v>1.1</v>
      </c>
      <c r="BX17" s="32">
        <v>0.9</v>
      </c>
      <c r="BY17" s="32">
        <v>1.2</v>
      </c>
      <c r="BZ17" s="32"/>
      <c r="CA17" s="32">
        <v>0.9</v>
      </c>
      <c r="CB17" s="32"/>
      <c r="CC17" s="32"/>
      <c r="CD17" s="32">
        <v>1.1</v>
      </c>
      <c r="CE17" s="32">
        <v>1.1</v>
      </c>
      <c r="CF17" s="32">
        <v>1.2</v>
      </c>
      <c r="CG17" s="32"/>
      <c r="CH17" s="32"/>
      <c r="CI17" s="32"/>
      <c r="CJ17" s="32">
        <v>1</v>
      </c>
      <c r="CK17" s="32">
        <v>1.1</v>
      </c>
      <c r="CL17" s="32">
        <v>1</v>
      </c>
      <c r="CM17" s="32">
        <v>1.2</v>
      </c>
      <c r="CN17" s="32"/>
      <c r="CO17" s="32"/>
      <c r="CP17" s="32"/>
      <c r="CQ17" s="32">
        <v>0.63</v>
      </c>
      <c r="CR17" s="32">
        <v>0.67</v>
      </c>
      <c r="CS17" s="32">
        <v>0.6</v>
      </c>
      <c r="CT17" s="32">
        <v>0.68</v>
      </c>
    </row>
    <row r="18" spans="1:98" ht="11.25">
      <c r="A18" s="67" t="s">
        <v>7</v>
      </c>
      <c r="B18" s="11" t="s">
        <v>38</v>
      </c>
      <c r="C18" s="12" t="s">
        <v>29</v>
      </c>
      <c r="D18" s="13" t="s">
        <v>46</v>
      </c>
      <c r="E18" s="13">
        <f t="shared" si="1"/>
        <v>0</v>
      </c>
      <c r="F18" s="41">
        <f>COUNTIF(J18:CT18,"&lt;=1200")</f>
        <v>0</v>
      </c>
      <c r="G18" s="14" t="e">
        <f t="shared" si="0"/>
        <v>#DIV/0!</v>
      </c>
      <c r="H18" s="41"/>
      <c r="I18" s="10"/>
      <c r="J18" s="31"/>
      <c r="K18" s="31"/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</row>
    <row r="19" spans="1:98" ht="11.25">
      <c r="A19" s="16" t="s">
        <v>55</v>
      </c>
      <c r="B19" s="11"/>
      <c r="C19" s="37" t="s">
        <v>43</v>
      </c>
      <c r="D19" s="36" t="s">
        <v>68</v>
      </c>
      <c r="E19" s="20">
        <f aca="true" t="shared" si="2" ref="E19:E26">COUNTA(J19:CT19)</f>
        <v>43</v>
      </c>
      <c r="F19" s="20">
        <f>COUNTIF(J19:CT19,"&lt;=0,5")</f>
        <v>36</v>
      </c>
      <c r="G19" s="21">
        <f t="shared" si="0"/>
        <v>0.8372093023255814</v>
      </c>
      <c r="H19" s="71" t="s">
        <v>130</v>
      </c>
      <c r="I19" s="10">
        <f>+AVERAGE(J19:CT19)</f>
        <v>0.2869767441860465</v>
      </c>
      <c r="J19" s="31"/>
      <c r="K19" s="31"/>
      <c r="L19" s="31"/>
      <c r="M19" s="31"/>
      <c r="N19" s="31"/>
      <c r="O19" s="31"/>
      <c r="P19" s="31"/>
      <c r="Q19" s="32"/>
      <c r="R19" s="32"/>
      <c r="S19" s="32"/>
      <c r="T19" s="32"/>
      <c r="U19" s="32"/>
      <c r="V19" s="32"/>
      <c r="W19" s="32"/>
      <c r="X19" s="32"/>
      <c r="Y19" s="32">
        <v>0.04</v>
      </c>
      <c r="Z19" s="32"/>
      <c r="AA19" s="32"/>
      <c r="AB19" s="32"/>
      <c r="AC19" s="32">
        <v>0.05</v>
      </c>
      <c r="AD19" s="32">
        <v>0.1</v>
      </c>
      <c r="AE19" s="32"/>
      <c r="AF19" s="32">
        <v>0.09</v>
      </c>
      <c r="AG19" s="32">
        <v>0.1</v>
      </c>
      <c r="AH19" s="32"/>
      <c r="AI19" s="32"/>
      <c r="AJ19" s="32">
        <v>0.05</v>
      </c>
      <c r="AK19" s="32">
        <v>0.05</v>
      </c>
      <c r="AL19" s="32">
        <v>0.05</v>
      </c>
      <c r="AM19" s="32">
        <v>0.17</v>
      </c>
      <c r="AN19" s="32">
        <v>0.06</v>
      </c>
      <c r="AO19" s="32">
        <v>0.22</v>
      </c>
      <c r="AP19" s="32"/>
      <c r="AQ19" s="32"/>
      <c r="AR19" s="32"/>
      <c r="AS19" s="32">
        <v>0.04</v>
      </c>
      <c r="AT19" s="32">
        <v>0.15</v>
      </c>
      <c r="AU19" s="32">
        <v>0.12</v>
      </c>
      <c r="AV19" s="32">
        <v>0.09</v>
      </c>
      <c r="AW19" s="32"/>
      <c r="AX19" s="32"/>
      <c r="AY19" s="32"/>
      <c r="AZ19" s="32">
        <v>0.38</v>
      </c>
      <c r="BA19" s="32">
        <v>0.48</v>
      </c>
      <c r="BB19" s="32">
        <v>0.61</v>
      </c>
      <c r="BC19" s="32">
        <v>0.42</v>
      </c>
      <c r="BD19" s="32"/>
      <c r="BE19" s="32"/>
      <c r="BF19" s="32"/>
      <c r="BG19" s="32"/>
      <c r="BH19" s="32">
        <v>0.27</v>
      </c>
      <c r="BI19" s="32">
        <v>0.35</v>
      </c>
      <c r="BJ19" s="32">
        <v>0.33</v>
      </c>
      <c r="BK19" s="32">
        <v>0.28</v>
      </c>
      <c r="BL19" s="32"/>
      <c r="BM19" s="32"/>
      <c r="BN19" s="32"/>
      <c r="BO19" s="32">
        <v>0</v>
      </c>
      <c r="BP19" s="32">
        <v>0.2</v>
      </c>
      <c r="BQ19" s="32">
        <v>0</v>
      </c>
      <c r="BR19" s="32">
        <v>0.36</v>
      </c>
      <c r="BS19" s="32"/>
      <c r="BT19" s="32"/>
      <c r="BU19" s="32"/>
      <c r="BV19" s="32">
        <v>0</v>
      </c>
      <c r="BW19" s="32">
        <v>0.13</v>
      </c>
      <c r="BX19" s="32">
        <v>0</v>
      </c>
      <c r="BY19" s="32">
        <v>0.19</v>
      </c>
      <c r="BZ19" s="32"/>
      <c r="CA19" s="32">
        <v>0.54</v>
      </c>
      <c r="CB19" s="32"/>
      <c r="CC19" s="32"/>
      <c r="CD19" s="32">
        <v>0.38</v>
      </c>
      <c r="CE19" s="32">
        <v>0.39</v>
      </c>
      <c r="CF19" s="32">
        <v>0.42</v>
      </c>
      <c r="CG19" s="32"/>
      <c r="CH19" s="32"/>
      <c r="CI19" s="32"/>
      <c r="CJ19" s="32">
        <v>0.67</v>
      </c>
      <c r="CK19" s="32">
        <v>0.29</v>
      </c>
      <c r="CL19" s="32">
        <v>0.44</v>
      </c>
      <c r="CM19" s="32">
        <v>0.46</v>
      </c>
      <c r="CN19" s="32"/>
      <c r="CO19" s="32"/>
      <c r="CP19" s="32"/>
      <c r="CQ19" s="32">
        <v>0.7</v>
      </c>
      <c r="CR19" s="32">
        <v>0.75</v>
      </c>
      <c r="CS19" s="32">
        <v>1.23</v>
      </c>
      <c r="CT19" s="32">
        <v>0.69</v>
      </c>
    </row>
    <row r="20" spans="1:98" ht="11.25" customHeight="1">
      <c r="A20" s="110" t="s">
        <v>9</v>
      </c>
      <c r="B20" s="109" t="s">
        <v>47</v>
      </c>
      <c r="C20" s="19" t="s">
        <v>43</v>
      </c>
      <c r="D20" s="47" t="s">
        <v>65</v>
      </c>
      <c r="E20" s="20">
        <f t="shared" si="2"/>
        <v>55</v>
      </c>
      <c r="F20" s="20">
        <f>COUNTIF(J20:CT20,"&lt;=2000")</f>
        <v>55</v>
      </c>
      <c r="G20" s="21">
        <f t="shared" si="0"/>
        <v>1</v>
      </c>
      <c r="H20" s="71" t="s">
        <v>133</v>
      </c>
      <c r="I20" s="102">
        <v>20.94</v>
      </c>
      <c r="J20" s="87">
        <v>0.003</v>
      </c>
      <c r="K20" s="87">
        <v>0.001</v>
      </c>
      <c r="L20" s="87">
        <v>0.004</v>
      </c>
      <c r="M20" s="87">
        <v>0.014</v>
      </c>
      <c r="N20" s="87">
        <v>0.003</v>
      </c>
      <c r="O20" s="87">
        <v>0.008</v>
      </c>
      <c r="P20" s="87">
        <v>0.003</v>
      </c>
      <c r="Q20" s="87">
        <v>0.002</v>
      </c>
      <c r="R20" s="87"/>
      <c r="S20" s="87"/>
      <c r="T20" s="87"/>
      <c r="U20" s="87">
        <v>84</v>
      </c>
      <c r="V20" s="87">
        <v>49</v>
      </c>
      <c r="W20" s="87"/>
      <c r="X20" s="87">
        <v>53</v>
      </c>
      <c r="Y20" s="87">
        <v>0.12</v>
      </c>
      <c r="Z20" s="87"/>
      <c r="AA20" s="87"/>
      <c r="AB20" s="87"/>
      <c r="AC20" s="87">
        <v>0.06</v>
      </c>
      <c r="AD20" s="87">
        <v>0.04</v>
      </c>
      <c r="AE20" s="87"/>
      <c r="AF20" s="87">
        <v>0.05</v>
      </c>
      <c r="AG20" s="87">
        <v>0.11</v>
      </c>
      <c r="AH20" s="87"/>
      <c r="AI20" s="87">
        <v>0.09</v>
      </c>
      <c r="AJ20" s="87">
        <v>0.11</v>
      </c>
      <c r="AK20" s="87">
        <v>0.1</v>
      </c>
      <c r="AL20" s="87">
        <v>0.11</v>
      </c>
      <c r="AM20" s="87">
        <v>0.12</v>
      </c>
      <c r="AN20" s="87">
        <v>0.1</v>
      </c>
      <c r="AO20" s="87">
        <v>0.12</v>
      </c>
      <c r="AP20" s="87"/>
      <c r="AQ20" s="87"/>
      <c r="AR20" s="87"/>
      <c r="AS20" s="87">
        <v>0.02</v>
      </c>
      <c r="AT20" s="87">
        <v>0.14</v>
      </c>
      <c r="AU20" s="87">
        <v>0.03</v>
      </c>
      <c r="AV20" s="87">
        <v>0.03</v>
      </c>
      <c r="AW20" s="87"/>
      <c r="AX20" s="87"/>
      <c r="AY20" s="87"/>
      <c r="AZ20" s="87">
        <v>0.05</v>
      </c>
      <c r="BA20" s="87">
        <v>0.06</v>
      </c>
      <c r="BB20" s="87">
        <v>0.04</v>
      </c>
      <c r="BC20" s="87">
        <v>0.05</v>
      </c>
      <c r="BD20" s="87"/>
      <c r="BE20" s="86"/>
      <c r="BF20" s="87"/>
      <c r="BG20" s="87"/>
      <c r="BH20" s="87">
        <v>0.15</v>
      </c>
      <c r="BI20" s="87">
        <v>0.15</v>
      </c>
      <c r="BJ20" s="87">
        <v>0.2</v>
      </c>
      <c r="BK20" s="87">
        <v>0.15</v>
      </c>
      <c r="BL20" s="87"/>
      <c r="BM20" s="87"/>
      <c r="BN20" s="87"/>
      <c r="BO20" s="87">
        <v>0.04</v>
      </c>
      <c r="BP20" s="87">
        <v>0.01</v>
      </c>
      <c r="BQ20" s="87">
        <v>0.02</v>
      </c>
      <c r="BR20" s="87">
        <v>0.03</v>
      </c>
      <c r="BS20" s="87"/>
      <c r="BT20" s="87"/>
      <c r="BU20" s="87"/>
      <c r="BV20" s="87">
        <v>0</v>
      </c>
      <c r="BW20" s="87">
        <v>0</v>
      </c>
      <c r="BX20" s="87">
        <v>0</v>
      </c>
      <c r="BY20" s="87">
        <v>0</v>
      </c>
      <c r="BZ20" s="87"/>
      <c r="CA20" s="87">
        <v>0.081</v>
      </c>
      <c r="CB20" s="87"/>
      <c r="CC20" s="87"/>
      <c r="CD20" s="87">
        <v>0.029</v>
      </c>
      <c r="CE20" s="87">
        <v>0.045</v>
      </c>
      <c r="CF20" s="87">
        <v>0.033</v>
      </c>
      <c r="CG20" s="87"/>
      <c r="CH20" s="87"/>
      <c r="CI20" s="87"/>
      <c r="CJ20" s="87">
        <v>0</v>
      </c>
      <c r="CK20" s="87">
        <v>0</v>
      </c>
      <c r="CL20" s="87">
        <v>0</v>
      </c>
      <c r="CM20" s="87">
        <v>0</v>
      </c>
      <c r="CN20" s="87"/>
      <c r="CO20" s="87"/>
      <c r="CP20" s="87"/>
      <c r="CQ20" s="87">
        <v>0.035</v>
      </c>
      <c r="CR20" s="87">
        <v>0.022</v>
      </c>
      <c r="CS20" s="87">
        <v>0.024</v>
      </c>
      <c r="CT20" s="87">
        <v>0.029</v>
      </c>
    </row>
    <row r="21" spans="1:98" ht="11.25" customHeight="1">
      <c r="A21" s="110"/>
      <c r="B21" s="109"/>
      <c r="C21" s="12" t="s">
        <v>29</v>
      </c>
      <c r="D21" s="13" t="s">
        <v>42</v>
      </c>
      <c r="E21" s="13">
        <f t="shared" si="2"/>
        <v>55</v>
      </c>
      <c r="F21" s="13">
        <f>COUNTIF(J20:CT20,"&lt;=300")</f>
        <v>55</v>
      </c>
      <c r="G21" s="14">
        <f t="shared" si="0"/>
        <v>1</v>
      </c>
      <c r="H21" s="41" t="s">
        <v>133</v>
      </c>
      <c r="I21" s="93"/>
      <c r="J21" s="89">
        <v>0</v>
      </c>
      <c r="K21" s="88">
        <v>0</v>
      </c>
      <c r="L21" s="89">
        <v>0</v>
      </c>
      <c r="M21" s="89">
        <v>0.01</v>
      </c>
      <c r="N21" s="89">
        <v>0</v>
      </c>
      <c r="O21" s="89">
        <v>0.01</v>
      </c>
      <c r="P21" s="89">
        <v>0</v>
      </c>
      <c r="Q21" s="89">
        <v>0</v>
      </c>
      <c r="R21" s="89"/>
      <c r="S21" s="89"/>
      <c r="T21" s="89"/>
      <c r="U21" s="89">
        <v>84</v>
      </c>
      <c r="V21" s="89">
        <v>49</v>
      </c>
      <c r="W21" s="89"/>
      <c r="X21" s="89">
        <v>53</v>
      </c>
      <c r="Y21" s="89">
        <v>0.12</v>
      </c>
      <c r="Z21" s="88"/>
      <c r="AA21" s="89"/>
      <c r="AB21" s="89"/>
      <c r="AC21" s="89">
        <v>0.06</v>
      </c>
      <c r="AD21" s="89">
        <v>0.04</v>
      </c>
      <c r="AE21" s="89"/>
      <c r="AF21" s="89">
        <v>0.05</v>
      </c>
      <c r="AG21" s="89">
        <v>0.11</v>
      </c>
      <c r="AH21" s="88"/>
      <c r="AI21" s="88">
        <v>0.09</v>
      </c>
      <c r="AJ21" s="89">
        <v>0.11</v>
      </c>
      <c r="AK21" s="89">
        <v>0.1</v>
      </c>
      <c r="AL21" s="89">
        <v>0.11</v>
      </c>
      <c r="AM21" s="89">
        <v>0.12</v>
      </c>
      <c r="AN21" s="89">
        <v>0.1</v>
      </c>
      <c r="AO21" s="89">
        <v>0.12</v>
      </c>
      <c r="AP21" s="89"/>
      <c r="AQ21" s="89"/>
      <c r="AR21" s="89"/>
      <c r="AS21" s="89">
        <v>0.02</v>
      </c>
      <c r="AT21" s="89">
        <v>0.14</v>
      </c>
      <c r="AU21" s="89">
        <v>0.03</v>
      </c>
      <c r="AV21" s="89">
        <v>0.03</v>
      </c>
      <c r="AW21" s="89"/>
      <c r="AX21" s="89"/>
      <c r="AY21" s="89"/>
      <c r="AZ21" s="89">
        <v>0.05</v>
      </c>
      <c r="BA21" s="89">
        <v>0.06</v>
      </c>
      <c r="BB21" s="89">
        <v>0.04</v>
      </c>
      <c r="BC21" s="89">
        <v>0.05</v>
      </c>
      <c r="BD21" s="89"/>
      <c r="BE21" s="90"/>
      <c r="BF21" s="89"/>
      <c r="BG21" s="89"/>
      <c r="BH21" s="89">
        <v>0.15</v>
      </c>
      <c r="BI21" s="89">
        <v>0.15</v>
      </c>
      <c r="BJ21" s="89">
        <v>0.2</v>
      </c>
      <c r="BK21" s="89">
        <v>0.15</v>
      </c>
      <c r="BL21" s="89"/>
      <c r="BM21" s="89"/>
      <c r="BN21" s="89"/>
      <c r="BO21" s="89">
        <v>0.04</v>
      </c>
      <c r="BP21" s="89">
        <v>0.01</v>
      </c>
      <c r="BQ21" s="89">
        <v>0.02</v>
      </c>
      <c r="BR21" s="89">
        <v>0.03</v>
      </c>
      <c r="BS21" s="89"/>
      <c r="BT21" s="89"/>
      <c r="BU21" s="89"/>
      <c r="BV21" s="89">
        <v>0</v>
      </c>
      <c r="BW21" s="89">
        <v>0</v>
      </c>
      <c r="BX21" s="89">
        <v>0</v>
      </c>
      <c r="BY21" s="89">
        <v>0</v>
      </c>
      <c r="BZ21" s="89"/>
      <c r="CA21" s="89">
        <v>0.08</v>
      </c>
      <c r="CB21" s="89"/>
      <c r="CC21" s="89"/>
      <c r="CD21" s="89">
        <v>0.03</v>
      </c>
      <c r="CE21" s="89">
        <v>0.05</v>
      </c>
      <c r="CF21" s="89">
        <v>0.03</v>
      </c>
      <c r="CG21" s="89"/>
      <c r="CH21" s="89"/>
      <c r="CI21" s="89"/>
      <c r="CJ21" s="89">
        <v>0</v>
      </c>
      <c r="CK21" s="89">
        <v>0</v>
      </c>
      <c r="CL21" s="89">
        <v>0</v>
      </c>
      <c r="CM21" s="89">
        <v>0</v>
      </c>
      <c r="CN21" s="89"/>
      <c r="CO21" s="89"/>
      <c r="CP21" s="89"/>
      <c r="CQ21" s="89">
        <v>0.035</v>
      </c>
      <c r="CR21" s="89">
        <v>0.022</v>
      </c>
      <c r="CS21" s="89">
        <v>0.024</v>
      </c>
      <c r="CT21" s="89">
        <v>0.029</v>
      </c>
    </row>
    <row r="22" spans="1:98" ht="11.25" customHeight="1">
      <c r="A22" s="108" t="s">
        <v>10</v>
      </c>
      <c r="B22" s="109" t="s">
        <v>47</v>
      </c>
      <c r="C22" s="19" t="s">
        <v>43</v>
      </c>
      <c r="D22" s="47" t="s">
        <v>66</v>
      </c>
      <c r="E22" s="20">
        <f t="shared" si="2"/>
        <v>54</v>
      </c>
      <c r="F22" s="20">
        <f>COUNTIF(J22:CT22,"&lt;=500")</f>
        <v>54</v>
      </c>
      <c r="G22" s="21">
        <f t="shared" si="0"/>
        <v>1</v>
      </c>
      <c r="H22" s="71" t="s">
        <v>133</v>
      </c>
      <c r="I22" s="102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/>
      <c r="S22" s="87"/>
      <c r="T22" s="87"/>
      <c r="U22" s="87">
        <v>11</v>
      </c>
      <c r="V22" s="87">
        <v>12</v>
      </c>
      <c r="W22" s="87"/>
      <c r="X22" s="87">
        <v>12</v>
      </c>
      <c r="Y22" s="87">
        <v>0</v>
      </c>
      <c r="Z22" s="87"/>
      <c r="AA22" s="87"/>
      <c r="AB22" s="87"/>
      <c r="AC22" s="87"/>
      <c r="AD22" s="87">
        <v>0</v>
      </c>
      <c r="AE22" s="87"/>
      <c r="AF22" s="87">
        <v>0</v>
      </c>
      <c r="AG22" s="87">
        <v>0.01</v>
      </c>
      <c r="AH22" s="87"/>
      <c r="AI22" s="87">
        <v>0.01</v>
      </c>
      <c r="AJ22" s="87">
        <v>0.01</v>
      </c>
      <c r="AK22" s="87">
        <v>0.01</v>
      </c>
      <c r="AL22" s="87">
        <v>0.01</v>
      </c>
      <c r="AM22" s="87">
        <v>0.01</v>
      </c>
      <c r="AN22" s="87">
        <v>0.01</v>
      </c>
      <c r="AO22" s="87">
        <v>0.01</v>
      </c>
      <c r="AP22" s="87"/>
      <c r="AQ22" s="87"/>
      <c r="AR22" s="87"/>
      <c r="AS22" s="87">
        <v>0.001</v>
      </c>
      <c r="AT22" s="87">
        <v>0.001</v>
      </c>
      <c r="AU22" s="87">
        <v>0</v>
      </c>
      <c r="AV22" s="87">
        <v>0.001</v>
      </c>
      <c r="AW22" s="87"/>
      <c r="AX22" s="87"/>
      <c r="AY22" s="87"/>
      <c r="AZ22" s="87">
        <v>0.001</v>
      </c>
      <c r="BA22" s="87">
        <v>0.001</v>
      </c>
      <c r="BB22" s="87">
        <v>0.001</v>
      </c>
      <c r="BC22" s="87">
        <v>0.002</v>
      </c>
      <c r="BD22" s="87"/>
      <c r="BE22" s="86"/>
      <c r="BF22" s="87"/>
      <c r="BG22" s="87"/>
      <c r="BH22" s="87">
        <v>0.001</v>
      </c>
      <c r="BI22" s="87">
        <v>0</v>
      </c>
      <c r="BJ22" s="87">
        <v>0.002</v>
      </c>
      <c r="BK22" s="87">
        <v>0</v>
      </c>
      <c r="BL22" s="87"/>
      <c r="BM22" s="87"/>
      <c r="BN22" s="87"/>
      <c r="BO22" s="87">
        <v>0.003</v>
      </c>
      <c r="BP22" s="87">
        <v>0.02</v>
      </c>
      <c r="BQ22" s="87">
        <v>0.03</v>
      </c>
      <c r="BR22" s="87">
        <v>0.03</v>
      </c>
      <c r="BS22" s="87"/>
      <c r="BT22" s="87"/>
      <c r="BU22" s="87"/>
      <c r="BV22" s="87">
        <v>0.004</v>
      </c>
      <c r="BW22" s="87">
        <v>0.031</v>
      </c>
      <c r="BX22" s="87">
        <v>0.005</v>
      </c>
      <c r="BY22" s="87">
        <v>0.004</v>
      </c>
      <c r="BZ22" s="87"/>
      <c r="CA22" s="87">
        <v>0</v>
      </c>
      <c r="CB22" s="87"/>
      <c r="CC22" s="87"/>
      <c r="CD22" s="87">
        <v>0</v>
      </c>
      <c r="CE22" s="87">
        <v>0</v>
      </c>
      <c r="CF22" s="87">
        <v>0</v>
      </c>
      <c r="CG22" s="87"/>
      <c r="CH22" s="87"/>
      <c r="CI22" s="87"/>
      <c r="CJ22" s="87">
        <v>0.001</v>
      </c>
      <c r="CK22" s="87">
        <v>0.001</v>
      </c>
      <c r="CL22" s="87">
        <v>0.001</v>
      </c>
      <c r="CM22" s="87">
        <v>0.001</v>
      </c>
      <c r="CN22" s="87"/>
      <c r="CO22" s="87"/>
      <c r="CP22" s="87"/>
      <c r="CQ22" s="87">
        <v>0</v>
      </c>
      <c r="CR22" s="87">
        <v>0</v>
      </c>
      <c r="CS22" s="87">
        <v>0</v>
      </c>
      <c r="CT22" s="87">
        <v>0</v>
      </c>
    </row>
    <row r="23" spans="1:98" ht="11.25" customHeight="1">
      <c r="A23" s="108"/>
      <c r="B23" s="109"/>
      <c r="C23" s="12" t="s">
        <v>29</v>
      </c>
      <c r="D23" s="35" t="s">
        <v>69</v>
      </c>
      <c r="E23" s="13">
        <f t="shared" si="2"/>
        <v>54</v>
      </c>
      <c r="F23" s="13">
        <f>COUNTIF(J23:CT23,"&lt;100")</f>
        <v>54</v>
      </c>
      <c r="G23" s="14">
        <f t="shared" si="0"/>
        <v>1</v>
      </c>
      <c r="H23" s="41" t="s">
        <v>133</v>
      </c>
      <c r="I23" s="93"/>
      <c r="J23" s="89">
        <v>0</v>
      </c>
      <c r="K23" s="88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/>
      <c r="S23" s="89"/>
      <c r="T23" s="89"/>
      <c r="U23" s="89">
        <v>11</v>
      </c>
      <c r="V23" s="89">
        <v>12</v>
      </c>
      <c r="W23" s="89"/>
      <c r="X23" s="89">
        <v>12</v>
      </c>
      <c r="Y23" s="89">
        <v>0</v>
      </c>
      <c r="Z23" s="88"/>
      <c r="AA23" s="89"/>
      <c r="AB23" s="89"/>
      <c r="AC23" s="89"/>
      <c r="AD23" s="89">
        <v>0</v>
      </c>
      <c r="AE23" s="89"/>
      <c r="AF23" s="89">
        <v>0</v>
      </c>
      <c r="AG23" s="89">
        <v>0.01</v>
      </c>
      <c r="AH23" s="88"/>
      <c r="AI23" s="88">
        <v>0.01</v>
      </c>
      <c r="AJ23" s="89">
        <v>0.01</v>
      </c>
      <c r="AK23" s="89">
        <v>0.01</v>
      </c>
      <c r="AL23" s="89">
        <v>0.01</v>
      </c>
      <c r="AM23" s="89">
        <v>0.01</v>
      </c>
      <c r="AN23" s="89">
        <v>0.01</v>
      </c>
      <c r="AO23" s="89">
        <v>0.01</v>
      </c>
      <c r="AP23" s="89"/>
      <c r="AQ23" s="89"/>
      <c r="AR23" s="89"/>
      <c r="AS23" s="89">
        <v>0</v>
      </c>
      <c r="AT23" s="89">
        <v>0</v>
      </c>
      <c r="AU23" s="89">
        <v>0</v>
      </c>
      <c r="AV23" s="89">
        <v>0</v>
      </c>
      <c r="AW23" s="89"/>
      <c r="AX23" s="89"/>
      <c r="AY23" s="89"/>
      <c r="AZ23" s="89">
        <v>0</v>
      </c>
      <c r="BA23" s="89">
        <v>0</v>
      </c>
      <c r="BB23" s="89">
        <v>0</v>
      </c>
      <c r="BC23" s="89">
        <v>0</v>
      </c>
      <c r="BD23" s="89"/>
      <c r="BE23" s="90"/>
      <c r="BF23" s="89"/>
      <c r="BG23" s="89"/>
      <c r="BH23" s="89">
        <v>0</v>
      </c>
      <c r="BI23" s="89">
        <v>0</v>
      </c>
      <c r="BJ23" s="89">
        <v>0</v>
      </c>
      <c r="BK23" s="89">
        <v>0</v>
      </c>
      <c r="BL23" s="89"/>
      <c r="BM23" s="89"/>
      <c r="BN23" s="89"/>
      <c r="BO23" s="89">
        <v>0</v>
      </c>
      <c r="BP23" s="89">
        <v>0.02</v>
      </c>
      <c r="BQ23" s="89">
        <v>0.03</v>
      </c>
      <c r="BR23" s="89">
        <v>0.03</v>
      </c>
      <c r="BS23" s="89"/>
      <c r="BT23" s="89"/>
      <c r="BU23" s="89"/>
      <c r="BV23" s="89">
        <v>0</v>
      </c>
      <c r="BW23" s="89">
        <v>0.03</v>
      </c>
      <c r="BX23" s="89">
        <v>0.01</v>
      </c>
      <c r="BY23" s="89">
        <v>0</v>
      </c>
      <c r="BZ23" s="89"/>
      <c r="CA23" s="89">
        <v>0</v>
      </c>
      <c r="CB23" s="89"/>
      <c r="CC23" s="89"/>
      <c r="CD23" s="89">
        <v>0</v>
      </c>
      <c r="CE23" s="89">
        <v>0</v>
      </c>
      <c r="CF23" s="89">
        <v>0</v>
      </c>
      <c r="CG23" s="89"/>
      <c r="CH23" s="89"/>
      <c r="CI23" s="89"/>
      <c r="CJ23" s="89">
        <v>0.001</v>
      </c>
      <c r="CK23" s="89">
        <v>0.001</v>
      </c>
      <c r="CL23" s="89">
        <v>0.001</v>
      </c>
      <c r="CM23" s="89">
        <v>0.001</v>
      </c>
      <c r="CN23" s="89"/>
      <c r="CO23" s="89"/>
      <c r="CP23" s="89"/>
      <c r="CQ23" s="89">
        <v>0</v>
      </c>
      <c r="CR23" s="89">
        <v>0</v>
      </c>
      <c r="CS23" s="89">
        <v>0</v>
      </c>
      <c r="CT23" s="89">
        <v>0</v>
      </c>
    </row>
    <row r="24" spans="1:98" ht="11.25">
      <c r="A24" s="16" t="s">
        <v>11</v>
      </c>
      <c r="B24" s="11" t="s">
        <v>47</v>
      </c>
      <c r="C24" s="7" t="s">
        <v>25</v>
      </c>
      <c r="D24" s="8" t="s">
        <v>42</v>
      </c>
      <c r="E24" s="8">
        <f t="shared" si="2"/>
        <v>47</v>
      </c>
      <c r="F24" s="8">
        <f>COUNTIF(J24:CT24,"&lt;=300")</f>
        <v>47</v>
      </c>
      <c r="G24" s="9">
        <f t="shared" si="0"/>
        <v>1</v>
      </c>
      <c r="H24" s="40" t="s">
        <v>133</v>
      </c>
      <c r="I24" s="10">
        <f aca="true" t="shared" si="3" ref="I24:I33">+AVERAGE(J24:CT24)</f>
        <v>0.17587234042553188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v>4</v>
      </c>
      <c r="V24" s="31">
        <v>2</v>
      </c>
      <c r="W24" s="31"/>
      <c r="X24" s="31">
        <v>2</v>
      </c>
      <c r="Y24" s="31">
        <v>0.001</v>
      </c>
      <c r="Z24" s="31"/>
      <c r="AA24" s="31"/>
      <c r="AB24" s="31"/>
      <c r="AC24" s="31">
        <v>0.001</v>
      </c>
      <c r="AD24" s="31">
        <v>0.002</v>
      </c>
      <c r="AE24" s="31"/>
      <c r="AF24" s="31">
        <v>0.001</v>
      </c>
      <c r="AG24" s="31">
        <v>0</v>
      </c>
      <c r="AH24" s="31"/>
      <c r="AI24" s="31">
        <v>0.01</v>
      </c>
      <c r="AJ24" s="31">
        <v>0.01</v>
      </c>
      <c r="AK24" s="31">
        <v>0</v>
      </c>
      <c r="AL24" s="31">
        <v>0</v>
      </c>
      <c r="AM24" s="31">
        <v>0.01</v>
      </c>
      <c r="AN24" s="31">
        <v>0</v>
      </c>
      <c r="AO24" s="31">
        <v>0</v>
      </c>
      <c r="AP24" s="31"/>
      <c r="AQ24" s="31"/>
      <c r="AR24" s="31"/>
      <c r="AS24" s="31">
        <v>0</v>
      </c>
      <c r="AT24" s="31">
        <v>0</v>
      </c>
      <c r="AU24" s="31">
        <v>0</v>
      </c>
      <c r="AV24" s="31">
        <v>0</v>
      </c>
      <c r="AW24" s="31"/>
      <c r="AX24" s="31"/>
      <c r="AY24" s="31"/>
      <c r="AZ24" s="31">
        <v>0.006</v>
      </c>
      <c r="BA24" s="31">
        <v>0.004</v>
      </c>
      <c r="BB24" s="31">
        <v>0.006</v>
      </c>
      <c r="BC24" s="31">
        <v>0.009</v>
      </c>
      <c r="BD24" s="31"/>
      <c r="BE24" s="31"/>
      <c r="BF24" s="31"/>
      <c r="BG24" s="31"/>
      <c r="BH24" s="31">
        <v>0</v>
      </c>
      <c r="BI24" s="31">
        <v>0</v>
      </c>
      <c r="BJ24" s="31">
        <v>0</v>
      </c>
      <c r="BK24" s="31">
        <v>0</v>
      </c>
      <c r="BL24" s="31"/>
      <c r="BM24" s="31"/>
      <c r="BN24" s="31"/>
      <c r="BO24" s="31">
        <v>0.008</v>
      </c>
      <c r="BP24" s="31">
        <v>0.007</v>
      </c>
      <c r="BQ24" s="31">
        <v>0.005</v>
      </c>
      <c r="BR24" s="31">
        <v>0.005</v>
      </c>
      <c r="BS24" s="31"/>
      <c r="BT24" s="31"/>
      <c r="BU24" s="31"/>
      <c r="BV24" s="31">
        <v>0.01</v>
      </c>
      <c r="BW24" s="31">
        <v>0.009</v>
      </c>
      <c r="BX24" s="31">
        <v>0.006</v>
      </c>
      <c r="BY24" s="31">
        <v>0.022</v>
      </c>
      <c r="BZ24" s="31"/>
      <c r="CA24" s="31">
        <v>0.02</v>
      </c>
      <c r="CB24" s="31"/>
      <c r="CC24" s="31"/>
      <c r="CD24" s="31">
        <v>0.01</v>
      </c>
      <c r="CE24" s="31">
        <v>0.01</v>
      </c>
      <c r="CF24" s="31">
        <v>0.01</v>
      </c>
      <c r="CG24" s="31"/>
      <c r="CH24" s="31"/>
      <c r="CI24" s="31"/>
      <c r="CJ24" s="31">
        <v>0.021</v>
      </c>
      <c r="CK24" s="31">
        <v>0.02</v>
      </c>
      <c r="CL24" s="31">
        <v>0.023</v>
      </c>
      <c r="CM24" s="31">
        <v>0.02</v>
      </c>
      <c r="CN24" s="31"/>
      <c r="CO24" s="31"/>
      <c r="CP24" s="31"/>
      <c r="CQ24" s="31">
        <v>0</v>
      </c>
      <c r="CR24" s="31">
        <v>0</v>
      </c>
      <c r="CS24" s="31">
        <v>0</v>
      </c>
      <c r="CT24" s="31">
        <v>0</v>
      </c>
    </row>
    <row r="25" spans="1:98" ht="11.25" customHeight="1">
      <c r="A25" s="39" t="s">
        <v>59</v>
      </c>
      <c r="B25" s="11" t="s">
        <v>48</v>
      </c>
      <c r="C25" s="22" t="s">
        <v>45</v>
      </c>
      <c r="D25" s="25" t="s">
        <v>50</v>
      </c>
      <c r="E25" s="23">
        <f t="shared" si="2"/>
        <v>58</v>
      </c>
      <c r="F25" s="23">
        <f>COUNTIF(J25:CT25,"&lt;=0")</f>
        <v>58</v>
      </c>
      <c r="G25" s="24">
        <f t="shared" si="0"/>
        <v>1</v>
      </c>
      <c r="H25" s="79" t="s">
        <v>133</v>
      </c>
      <c r="I25" s="10">
        <f t="shared" si="3"/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/>
      <c r="S25" s="31"/>
      <c r="T25" s="31"/>
      <c r="U25" s="31">
        <v>0</v>
      </c>
      <c r="V25" s="31">
        <v>0</v>
      </c>
      <c r="W25" s="31"/>
      <c r="X25" s="31">
        <v>0</v>
      </c>
      <c r="Y25" s="31">
        <v>0</v>
      </c>
      <c r="Z25" s="31"/>
      <c r="AA25" s="31"/>
      <c r="AB25" s="31"/>
      <c r="AC25" s="31">
        <v>0</v>
      </c>
      <c r="AD25" s="31">
        <v>0</v>
      </c>
      <c r="AE25" s="31"/>
      <c r="AF25" s="31">
        <v>0</v>
      </c>
      <c r="AG25" s="31">
        <v>0</v>
      </c>
      <c r="AH25" s="31"/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/>
      <c r="AQ25" s="31"/>
      <c r="AR25" s="31"/>
      <c r="AS25" s="31">
        <v>0</v>
      </c>
      <c r="AT25" s="31">
        <v>0</v>
      </c>
      <c r="AU25" s="31">
        <v>0</v>
      </c>
      <c r="AV25" s="31">
        <v>0</v>
      </c>
      <c r="AW25" s="31"/>
      <c r="AX25" s="31"/>
      <c r="AY25" s="31"/>
      <c r="AZ25" s="31">
        <v>0</v>
      </c>
      <c r="BA25" s="31">
        <v>0</v>
      </c>
      <c r="BB25" s="31">
        <v>0</v>
      </c>
      <c r="BC25" s="31">
        <v>0</v>
      </c>
      <c r="BD25" s="31"/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/>
      <c r="BM25" s="31"/>
      <c r="BN25" s="31"/>
      <c r="BO25" s="31">
        <v>0</v>
      </c>
      <c r="BP25" s="31">
        <v>0</v>
      </c>
      <c r="BQ25" s="31">
        <v>0</v>
      </c>
      <c r="BR25" s="31">
        <v>0</v>
      </c>
      <c r="BS25" s="31"/>
      <c r="BT25" s="31"/>
      <c r="BU25" s="31"/>
      <c r="BV25" s="31">
        <v>0</v>
      </c>
      <c r="BW25" s="31">
        <v>0</v>
      </c>
      <c r="BX25" s="31">
        <v>0</v>
      </c>
      <c r="BY25" s="31">
        <v>0</v>
      </c>
      <c r="BZ25" s="31"/>
      <c r="CA25" s="31">
        <v>0</v>
      </c>
      <c r="CB25" s="31"/>
      <c r="CC25" s="31"/>
      <c r="CD25" s="31">
        <v>0</v>
      </c>
      <c r="CE25" s="31">
        <v>0</v>
      </c>
      <c r="CF25" s="31">
        <v>0</v>
      </c>
      <c r="CG25" s="31"/>
      <c r="CH25" s="31"/>
      <c r="CI25" s="31"/>
      <c r="CJ25" s="31">
        <v>0</v>
      </c>
      <c r="CK25" s="31">
        <v>0</v>
      </c>
      <c r="CL25" s="31">
        <v>0</v>
      </c>
      <c r="CM25" s="31">
        <v>0</v>
      </c>
      <c r="CN25" s="31"/>
      <c r="CO25" s="31"/>
      <c r="CP25" s="31"/>
      <c r="CQ25" s="31">
        <v>0</v>
      </c>
      <c r="CR25" s="31">
        <v>0</v>
      </c>
      <c r="CS25" s="31">
        <v>0</v>
      </c>
      <c r="CT25" s="31">
        <v>0</v>
      </c>
    </row>
    <row r="26" spans="1:98" ht="11.25">
      <c r="A26" s="39" t="s">
        <v>57</v>
      </c>
      <c r="B26" s="11" t="s">
        <v>48</v>
      </c>
      <c r="C26" s="7" t="s">
        <v>25</v>
      </c>
      <c r="D26" s="8" t="s">
        <v>49</v>
      </c>
      <c r="E26" s="8">
        <f t="shared" si="2"/>
        <v>58</v>
      </c>
      <c r="F26" s="8">
        <f>COUNTIF(J26:CT26,"&lt;=10")</f>
        <v>56</v>
      </c>
      <c r="G26" s="9">
        <f t="shared" si="0"/>
        <v>0.9655172413793104</v>
      </c>
      <c r="H26" s="78" t="s">
        <v>130</v>
      </c>
      <c r="I26" s="10">
        <f t="shared" si="3"/>
        <v>2.896551724137931</v>
      </c>
      <c r="J26" s="31">
        <v>0</v>
      </c>
      <c r="K26" s="31">
        <v>51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/>
      <c r="S26" s="31"/>
      <c r="T26" s="31"/>
      <c r="U26" s="31">
        <v>0</v>
      </c>
      <c r="V26" s="31">
        <v>0</v>
      </c>
      <c r="W26" s="31"/>
      <c r="X26" s="31">
        <v>0</v>
      </c>
      <c r="Y26" s="31">
        <v>0</v>
      </c>
      <c r="Z26" s="31"/>
      <c r="AA26" s="31"/>
      <c r="AB26" s="31"/>
      <c r="AC26" s="31">
        <v>0</v>
      </c>
      <c r="AD26" s="31">
        <v>0</v>
      </c>
      <c r="AE26" s="31"/>
      <c r="AF26" s="31">
        <v>0</v>
      </c>
      <c r="AG26" s="31">
        <v>0</v>
      </c>
      <c r="AH26" s="31"/>
      <c r="AI26" s="31">
        <v>112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/>
      <c r="AQ26" s="31"/>
      <c r="AR26" s="31"/>
      <c r="AS26" s="31">
        <v>0</v>
      </c>
      <c r="AT26" s="31">
        <v>0</v>
      </c>
      <c r="AU26" s="31">
        <v>0</v>
      </c>
      <c r="AV26" s="31">
        <v>0</v>
      </c>
      <c r="AW26" s="31"/>
      <c r="AX26" s="31"/>
      <c r="AY26" s="31"/>
      <c r="AZ26" s="31">
        <v>0</v>
      </c>
      <c r="BA26" s="31">
        <v>0</v>
      </c>
      <c r="BB26" s="31">
        <v>0</v>
      </c>
      <c r="BC26" s="31">
        <v>0</v>
      </c>
      <c r="BD26" s="31"/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/>
      <c r="BM26" s="31"/>
      <c r="BN26" s="31"/>
      <c r="BO26" s="31">
        <v>0</v>
      </c>
      <c r="BP26" s="31">
        <v>0</v>
      </c>
      <c r="BQ26" s="31">
        <v>0</v>
      </c>
      <c r="BR26" s="31">
        <v>0</v>
      </c>
      <c r="BS26" s="31"/>
      <c r="BT26" s="31"/>
      <c r="BU26" s="31"/>
      <c r="BV26" s="31">
        <v>1</v>
      </c>
      <c r="BW26" s="31">
        <v>0</v>
      </c>
      <c r="BX26" s="31">
        <v>1</v>
      </c>
      <c r="BY26" s="31">
        <v>1</v>
      </c>
      <c r="BZ26" s="31"/>
      <c r="CA26" s="31">
        <v>0</v>
      </c>
      <c r="CB26" s="31"/>
      <c r="CC26" s="31"/>
      <c r="CD26" s="31">
        <v>0</v>
      </c>
      <c r="CE26" s="31">
        <v>0</v>
      </c>
      <c r="CF26" s="31">
        <v>0</v>
      </c>
      <c r="CG26" s="31"/>
      <c r="CH26" s="31"/>
      <c r="CI26" s="31"/>
      <c r="CJ26" s="31">
        <v>0</v>
      </c>
      <c r="CK26" s="31">
        <v>0</v>
      </c>
      <c r="CL26" s="31">
        <v>0</v>
      </c>
      <c r="CM26" s="31">
        <v>0</v>
      </c>
      <c r="CN26" s="31"/>
      <c r="CO26" s="31"/>
      <c r="CP26" s="31"/>
      <c r="CQ26" s="31">
        <v>2</v>
      </c>
      <c r="CR26" s="31">
        <v>0</v>
      </c>
      <c r="CS26" s="31">
        <v>0</v>
      </c>
      <c r="CT26" s="31">
        <v>0</v>
      </c>
    </row>
    <row r="27" spans="1:98" ht="11.25" customHeight="1">
      <c r="A27" s="39" t="s">
        <v>58</v>
      </c>
      <c r="B27" s="11" t="s">
        <v>56</v>
      </c>
      <c r="C27" s="7" t="s">
        <v>25</v>
      </c>
      <c r="D27" s="40" t="s">
        <v>70</v>
      </c>
      <c r="E27" s="8"/>
      <c r="F27" s="8"/>
      <c r="G27" s="9" t="e">
        <f t="shared" si="0"/>
        <v>#DIV/0!</v>
      </c>
      <c r="H27" s="40"/>
      <c r="I27" s="10" t="e">
        <f t="shared" si="3"/>
        <v>#DIV/0!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</row>
    <row r="28" spans="1:98" ht="11.25">
      <c r="A28" s="67" t="s">
        <v>73</v>
      </c>
      <c r="B28" s="11" t="s">
        <v>38</v>
      </c>
      <c r="C28" s="19" t="s">
        <v>43</v>
      </c>
      <c r="D28" s="47" t="s">
        <v>62</v>
      </c>
      <c r="E28" s="20">
        <f aca="true" t="shared" si="4" ref="E28:E38">COUNTA(J28:CT28)</f>
        <v>12</v>
      </c>
      <c r="F28" s="71">
        <f>COUNTIF(J28:CT28,"&lt;=5")</f>
        <v>12</v>
      </c>
      <c r="G28" s="21">
        <f t="shared" si="0"/>
        <v>1</v>
      </c>
      <c r="H28" s="71" t="s">
        <v>133</v>
      </c>
      <c r="I28" s="10">
        <f t="shared" si="3"/>
        <v>0.08083333333333335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v>0.04</v>
      </c>
      <c r="Z28" s="11"/>
      <c r="AA28" s="11"/>
      <c r="AB28" s="11"/>
      <c r="AC28" s="11">
        <v>0.05</v>
      </c>
      <c r="AD28" s="11">
        <v>0.1</v>
      </c>
      <c r="AE28" s="11"/>
      <c r="AF28" s="11">
        <v>0.09</v>
      </c>
      <c r="AG28" s="11">
        <v>0.1</v>
      </c>
      <c r="AH28" s="11"/>
      <c r="AI28" s="11">
        <v>0.11</v>
      </c>
      <c r="AJ28" s="11">
        <v>0.05</v>
      </c>
      <c r="AK28" s="11">
        <v>0.05</v>
      </c>
      <c r="AL28" s="11">
        <v>0.05</v>
      </c>
      <c r="AM28" s="83">
        <v>0.05</v>
      </c>
      <c r="AN28" s="11">
        <v>0.06</v>
      </c>
      <c r="AO28" s="11">
        <v>0.22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</row>
    <row r="29" spans="1:98" ht="11.25">
      <c r="A29" s="67" t="s">
        <v>74</v>
      </c>
      <c r="B29" s="48" t="s">
        <v>38</v>
      </c>
      <c r="C29" s="49" t="s">
        <v>43</v>
      </c>
      <c r="D29" s="50" t="s">
        <v>72</v>
      </c>
      <c r="E29" s="50">
        <f t="shared" si="4"/>
        <v>24</v>
      </c>
      <c r="F29" s="50">
        <f>COUNTIF(J29:CT29,"&lt;10")</f>
        <v>4</v>
      </c>
      <c r="G29" s="51">
        <f t="shared" si="0"/>
        <v>0.16666666666666666</v>
      </c>
      <c r="H29" s="80" t="s">
        <v>136</v>
      </c>
      <c r="I29" s="10">
        <f t="shared" si="3"/>
        <v>15.271750000000003</v>
      </c>
      <c r="J29" s="11">
        <v>12.8</v>
      </c>
      <c r="K29" s="11">
        <v>10.5</v>
      </c>
      <c r="L29" s="11">
        <v>13.4</v>
      </c>
      <c r="M29" s="11">
        <v>7</v>
      </c>
      <c r="N29" s="11">
        <v>8.3</v>
      </c>
      <c r="O29" s="11">
        <v>13.2</v>
      </c>
      <c r="P29" s="11">
        <v>8.2</v>
      </c>
      <c r="Q29" s="11">
        <v>12.3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>
        <v>17.8</v>
      </c>
      <c r="BW29" s="11">
        <v>11.3</v>
      </c>
      <c r="BX29" s="11">
        <v>20.1</v>
      </c>
      <c r="BY29" s="11">
        <v>0.022</v>
      </c>
      <c r="BZ29" s="11"/>
      <c r="CA29" s="11">
        <v>21.8</v>
      </c>
      <c r="CB29" s="11"/>
      <c r="CC29" s="11"/>
      <c r="CD29" s="11">
        <v>17.4</v>
      </c>
      <c r="CE29" s="11">
        <v>17</v>
      </c>
      <c r="CF29" s="11">
        <v>16.3</v>
      </c>
      <c r="CG29" s="11"/>
      <c r="CH29" s="11"/>
      <c r="CI29" s="11"/>
      <c r="CJ29" s="11">
        <v>34.4</v>
      </c>
      <c r="CK29" s="11">
        <v>18.2</v>
      </c>
      <c r="CL29" s="11">
        <v>19.2</v>
      </c>
      <c r="CM29" s="11">
        <v>16.6</v>
      </c>
      <c r="CN29" s="11"/>
      <c r="CO29" s="11"/>
      <c r="CP29" s="11"/>
      <c r="CQ29" s="11">
        <v>13.8</v>
      </c>
      <c r="CR29" s="11">
        <v>21.4</v>
      </c>
      <c r="CS29" s="11">
        <v>13.3</v>
      </c>
      <c r="CT29" s="11">
        <v>22.2</v>
      </c>
    </row>
    <row r="30" spans="1:98" ht="11.25">
      <c r="A30" s="67" t="s">
        <v>2</v>
      </c>
      <c r="B30" s="48" t="s">
        <v>38</v>
      </c>
      <c r="C30" s="58" t="s">
        <v>29</v>
      </c>
      <c r="D30" s="59" t="s">
        <v>75</v>
      </c>
      <c r="E30" s="59">
        <f t="shared" si="4"/>
        <v>47</v>
      </c>
      <c r="F30" s="59">
        <f>COUNTIF(J30:CT30,"&lt;=200")</f>
        <v>47</v>
      </c>
      <c r="G30" s="60">
        <f t="shared" si="0"/>
        <v>1</v>
      </c>
      <c r="H30" s="59" t="s">
        <v>133</v>
      </c>
      <c r="I30" s="10">
        <f t="shared" si="3"/>
        <v>158.32999999999998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155.7</v>
      </c>
      <c r="V30" s="11">
        <v>154.6</v>
      </c>
      <c r="W30" s="11"/>
      <c r="X30" s="11">
        <v>155.3</v>
      </c>
      <c r="Y30" s="11">
        <v>128.4</v>
      </c>
      <c r="Z30" s="11"/>
      <c r="AA30" s="11"/>
      <c r="AB30" s="11"/>
      <c r="AC30" s="11">
        <v>131.6</v>
      </c>
      <c r="AD30" s="11">
        <v>153.1</v>
      </c>
      <c r="AE30" s="11"/>
      <c r="AF30" s="11">
        <v>153.4</v>
      </c>
      <c r="AG30" s="11">
        <v>151.44</v>
      </c>
      <c r="AH30" s="11"/>
      <c r="AI30" s="11">
        <v>163.24</v>
      </c>
      <c r="AJ30" s="11">
        <v>142.49</v>
      </c>
      <c r="AK30" s="11">
        <v>153.57</v>
      </c>
      <c r="AL30" s="11">
        <v>146.6</v>
      </c>
      <c r="AM30" s="11">
        <v>155.96</v>
      </c>
      <c r="AN30" s="11">
        <v>146.25</v>
      </c>
      <c r="AO30" s="11">
        <v>157.71</v>
      </c>
      <c r="AP30" s="11"/>
      <c r="AQ30" s="11"/>
      <c r="AR30" s="11"/>
      <c r="AS30" s="11">
        <v>148.55</v>
      </c>
      <c r="AT30" s="11">
        <v>150.71</v>
      </c>
      <c r="AU30" s="11">
        <v>141.05</v>
      </c>
      <c r="AV30" s="11">
        <v>151.88</v>
      </c>
      <c r="AW30" s="11"/>
      <c r="AX30" s="11"/>
      <c r="AY30" s="11"/>
      <c r="AZ30" s="11">
        <v>143.07</v>
      </c>
      <c r="BA30" s="11">
        <v>150.67</v>
      </c>
      <c r="BB30" s="11">
        <v>144.94</v>
      </c>
      <c r="BC30" s="11">
        <v>152.75</v>
      </c>
      <c r="BD30" s="11"/>
      <c r="BE30" s="11"/>
      <c r="BF30" s="11"/>
      <c r="BG30" s="11"/>
      <c r="BH30" s="11">
        <v>146.25</v>
      </c>
      <c r="BI30" s="11">
        <v>145.27</v>
      </c>
      <c r="BJ30" s="11">
        <v>144.65</v>
      </c>
      <c r="BK30" s="11">
        <v>143.67</v>
      </c>
      <c r="BL30" s="11"/>
      <c r="BM30" s="11"/>
      <c r="BN30" s="11"/>
      <c r="BO30" s="11">
        <v>160.87</v>
      </c>
      <c r="BP30" s="11">
        <v>160.15</v>
      </c>
      <c r="BQ30" s="11">
        <v>160.33</v>
      </c>
      <c r="BR30" s="11">
        <v>158.98</v>
      </c>
      <c r="BS30" s="11"/>
      <c r="BT30" s="11"/>
      <c r="BU30" s="11"/>
      <c r="BV30" s="11">
        <v>165.84</v>
      </c>
      <c r="BW30" s="11">
        <v>160.28</v>
      </c>
      <c r="BX30" s="11">
        <v>166.39</v>
      </c>
      <c r="BY30" s="11">
        <v>158.19</v>
      </c>
      <c r="BZ30" s="11"/>
      <c r="CA30" s="11">
        <v>156.69</v>
      </c>
      <c r="CB30" s="11"/>
      <c r="CC30" s="11"/>
      <c r="CD30" s="11">
        <v>161.41</v>
      </c>
      <c r="CE30" s="11">
        <v>157.18</v>
      </c>
      <c r="CF30" s="11">
        <v>162.9</v>
      </c>
      <c r="CG30" s="11"/>
      <c r="CH30" s="11"/>
      <c r="CI30" s="11"/>
      <c r="CJ30" s="11">
        <v>177.86</v>
      </c>
      <c r="CK30" s="11">
        <v>182.21</v>
      </c>
      <c r="CL30" s="11">
        <v>177.07</v>
      </c>
      <c r="CM30" s="11">
        <v>183.13</v>
      </c>
      <c r="CN30" s="11"/>
      <c r="CO30" s="11"/>
      <c r="CP30" s="11"/>
      <c r="CQ30" s="11">
        <v>191.06</v>
      </c>
      <c r="CR30" s="11">
        <v>196.94</v>
      </c>
      <c r="CS30" s="11">
        <v>196.93</v>
      </c>
      <c r="CT30" s="11">
        <v>194.28</v>
      </c>
    </row>
    <row r="31" spans="1:98" ht="11.25">
      <c r="A31" s="67" t="s">
        <v>3</v>
      </c>
      <c r="B31" s="48" t="s">
        <v>38</v>
      </c>
      <c r="C31" s="62" t="s">
        <v>41</v>
      </c>
      <c r="D31" s="63" t="s">
        <v>76</v>
      </c>
      <c r="E31" s="64">
        <f t="shared" si="4"/>
        <v>3</v>
      </c>
      <c r="F31" s="64">
        <f>COUNTIF(J31:CT31,"&lt;=50")</f>
        <v>3</v>
      </c>
      <c r="G31" s="65">
        <f t="shared" si="0"/>
        <v>1</v>
      </c>
      <c r="H31" s="64" t="s">
        <v>133</v>
      </c>
      <c r="I31" s="10">
        <f t="shared" si="3"/>
        <v>0.38999999999999996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v>0.45</v>
      </c>
      <c r="V31" s="11">
        <v>0.36</v>
      </c>
      <c r="W31" s="11"/>
      <c r="X31" s="11">
        <v>0.36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</row>
    <row r="32" spans="1:98" ht="11.25">
      <c r="A32" s="67" t="s">
        <v>4</v>
      </c>
      <c r="B32" s="48" t="s">
        <v>38</v>
      </c>
      <c r="C32" s="58" t="s">
        <v>29</v>
      </c>
      <c r="D32" s="61" t="s">
        <v>62</v>
      </c>
      <c r="E32" s="59">
        <f t="shared" si="4"/>
        <v>47</v>
      </c>
      <c r="F32" s="59">
        <f>COUNTIF(J32:CT32,"&lt;=5")</f>
        <v>47</v>
      </c>
      <c r="G32" s="60">
        <f t="shared" si="0"/>
        <v>1</v>
      </c>
      <c r="H32" s="59" t="s">
        <v>133</v>
      </c>
      <c r="I32" s="10">
        <f t="shared" si="3"/>
        <v>0.046851063829787244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0.02</v>
      </c>
      <c r="V32" s="11">
        <v>0.02</v>
      </c>
      <c r="W32" s="11"/>
      <c r="X32" s="11">
        <v>0.02</v>
      </c>
      <c r="Y32" s="11">
        <v>0.21</v>
      </c>
      <c r="Z32" s="11"/>
      <c r="AA32" s="11"/>
      <c r="AB32" s="11"/>
      <c r="AC32" s="11">
        <v>0.012</v>
      </c>
      <c r="AD32" s="11">
        <v>0.031</v>
      </c>
      <c r="AE32" s="11"/>
      <c r="AF32" s="11">
        <v>0.018</v>
      </c>
      <c r="AG32" s="11">
        <v>0.03</v>
      </c>
      <c r="AH32" s="11"/>
      <c r="AI32" s="11">
        <v>0.02</v>
      </c>
      <c r="AJ32" s="11">
        <v>0.04</v>
      </c>
      <c r="AK32" s="11">
        <v>0.04</v>
      </c>
      <c r="AL32" s="11">
        <v>0.03</v>
      </c>
      <c r="AM32" s="11">
        <v>0.03</v>
      </c>
      <c r="AN32" s="11">
        <v>0.03</v>
      </c>
      <c r="AO32" s="11">
        <v>0.04</v>
      </c>
      <c r="AP32" s="11"/>
      <c r="AQ32" s="11"/>
      <c r="AR32" s="11"/>
      <c r="AS32" s="11">
        <v>0.018</v>
      </c>
      <c r="AT32" s="11">
        <v>0.025</v>
      </c>
      <c r="AU32" s="11">
        <v>0.018</v>
      </c>
      <c r="AV32" s="11">
        <v>0.166</v>
      </c>
      <c r="AW32" s="11"/>
      <c r="AX32" s="11"/>
      <c r="AY32" s="11"/>
      <c r="AZ32" s="11">
        <v>0.035</v>
      </c>
      <c r="BA32" s="11">
        <v>0.023</v>
      </c>
      <c r="BB32" s="11">
        <v>0.038</v>
      </c>
      <c r="BC32" s="11">
        <v>0.056</v>
      </c>
      <c r="BD32" s="11"/>
      <c r="BE32" s="11"/>
      <c r="BF32" s="11"/>
      <c r="BG32" s="11"/>
      <c r="BH32" s="11">
        <v>0.079</v>
      </c>
      <c r="BI32" s="11">
        <v>0.054</v>
      </c>
      <c r="BJ32" s="11">
        <v>0.097</v>
      </c>
      <c r="BK32" s="11">
        <v>0.059</v>
      </c>
      <c r="BL32" s="11"/>
      <c r="BM32" s="11"/>
      <c r="BN32" s="11"/>
      <c r="BO32" s="11">
        <v>0.033</v>
      </c>
      <c r="BP32" s="11">
        <v>0.038</v>
      </c>
      <c r="BQ32" s="83">
        <v>0.033</v>
      </c>
      <c r="BR32" s="11">
        <v>0.032</v>
      </c>
      <c r="BS32" s="11"/>
      <c r="BT32" s="11"/>
      <c r="BU32" s="11"/>
      <c r="BV32" s="11">
        <v>0.019</v>
      </c>
      <c r="BW32" s="11">
        <v>0.031</v>
      </c>
      <c r="BX32" s="11">
        <v>0.018</v>
      </c>
      <c r="BY32" s="11">
        <v>0.02</v>
      </c>
      <c r="BZ32" s="11"/>
      <c r="CA32" s="11">
        <v>0.09</v>
      </c>
      <c r="CB32" s="11"/>
      <c r="CC32" s="11"/>
      <c r="CD32" s="11">
        <v>0.06</v>
      </c>
      <c r="CE32" s="11">
        <v>0.04</v>
      </c>
      <c r="CF32" s="11">
        <v>0.05</v>
      </c>
      <c r="CG32" s="11"/>
      <c r="CH32" s="11"/>
      <c r="CI32" s="11"/>
      <c r="CJ32" s="11">
        <v>0.027</v>
      </c>
      <c r="CK32" s="11">
        <v>0.07</v>
      </c>
      <c r="CL32" s="11">
        <v>0.024</v>
      </c>
      <c r="CM32" s="11">
        <v>0.024</v>
      </c>
      <c r="CN32" s="11"/>
      <c r="CO32" s="11"/>
      <c r="CP32" s="11"/>
      <c r="CQ32" s="11">
        <v>0.084</v>
      </c>
      <c r="CR32" s="11">
        <v>0.082</v>
      </c>
      <c r="CS32" s="11">
        <v>0.087</v>
      </c>
      <c r="CT32" s="11">
        <v>0.081</v>
      </c>
    </row>
    <row r="33" spans="1:98" ht="11.25">
      <c r="A33" s="67" t="s">
        <v>5</v>
      </c>
      <c r="B33" s="48" t="s">
        <v>38</v>
      </c>
      <c r="C33" s="58" t="s">
        <v>29</v>
      </c>
      <c r="D33" s="59" t="s">
        <v>77</v>
      </c>
      <c r="E33" s="59">
        <f t="shared" si="4"/>
        <v>47</v>
      </c>
      <c r="F33" s="59">
        <f>COUNTIF(J33:CT33,"&lt;=300")</f>
        <v>46</v>
      </c>
      <c r="G33" s="60">
        <f t="shared" si="0"/>
        <v>0.9787234042553191</v>
      </c>
      <c r="H33" s="59" t="s">
        <v>133</v>
      </c>
      <c r="I33" s="10">
        <f t="shared" si="3"/>
        <v>200.81404255319154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>
        <v>186.27</v>
      </c>
      <c r="V33" s="11">
        <v>179.4</v>
      </c>
      <c r="W33" s="11"/>
      <c r="X33" s="11">
        <v>181.93</v>
      </c>
      <c r="Y33" s="11">
        <v>185.28</v>
      </c>
      <c r="Z33" s="11"/>
      <c r="AA33" s="11"/>
      <c r="AB33" s="11"/>
      <c r="AC33" s="11">
        <v>196.77</v>
      </c>
      <c r="AD33" s="11">
        <v>202.69</v>
      </c>
      <c r="AE33" s="11"/>
      <c r="AF33" s="11">
        <v>198.62</v>
      </c>
      <c r="AG33" s="11">
        <v>183.17</v>
      </c>
      <c r="AH33" s="11"/>
      <c r="AI33" s="11">
        <v>203.44</v>
      </c>
      <c r="AJ33" s="11">
        <v>190.1</v>
      </c>
      <c r="AK33" s="11">
        <v>207.51</v>
      </c>
      <c r="AL33" s="11">
        <v>227.89</v>
      </c>
      <c r="AM33" s="11">
        <v>231.6</v>
      </c>
      <c r="AN33" s="11">
        <v>177.13</v>
      </c>
      <c r="AO33" s="11">
        <v>191.58</v>
      </c>
      <c r="AP33" s="11"/>
      <c r="AQ33" s="11"/>
      <c r="AR33" s="11"/>
      <c r="AS33" s="11">
        <v>213.07</v>
      </c>
      <c r="AT33" s="11">
        <v>196.02</v>
      </c>
      <c r="AU33" s="11">
        <v>207.51</v>
      </c>
      <c r="AV33" s="11">
        <v>196.4</v>
      </c>
      <c r="AW33" s="11"/>
      <c r="AX33" s="11"/>
      <c r="AY33" s="11"/>
      <c r="AZ33" s="11">
        <v>198.57</v>
      </c>
      <c r="BA33" s="11">
        <v>218.1</v>
      </c>
      <c r="BB33" s="11">
        <v>207.97</v>
      </c>
      <c r="BC33" s="11">
        <v>243.78</v>
      </c>
      <c r="BD33" s="11"/>
      <c r="BE33" s="11"/>
      <c r="BF33" s="11"/>
      <c r="BG33" s="11"/>
      <c r="BH33" s="11">
        <v>234.01</v>
      </c>
      <c r="BI33" s="11">
        <v>175.06</v>
      </c>
      <c r="BJ33" s="11">
        <v>217.02</v>
      </c>
      <c r="BK33" s="11">
        <v>184.1</v>
      </c>
      <c r="BL33" s="11"/>
      <c r="BM33" s="11"/>
      <c r="BN33" s="11"/>
      <c r="BO33" s="11">
        <v>253.83</v>
      </c>
      <c r="BP33" s="11">
        <v>196.02</v>
      </c>
      <c r="BQ33" s="11">
        <v>198.99</v>
      </c>
      <c r="BR33" s="11">
        <v>180.46</v>
      </c>
      <c r="BS33" s="11"/>
      <c r="BT33" s="11"/>
      <c r="BU33" s="11"/>
      <c r="BV33" s="11">
        <v>230.83</v>
      </c>
      <c r="BW33" s="11">
        <v>322.51</v>
      </c>
      <c r="BX33" s="11">
        <v>209.65</v>
      </c>
      <c r="BY33" s="11">
        <v>169.74</v>
      </c>
      <c r="BZ33" s="11"/>
      <c r="CA33" s="11">
        <v>146.46</v>
      </c>
      <c r="CB33" s="11"/>
      <c r="CC33" s="11"/>
      <c r="CD33" s="11">
        <v>167.28</v>
      </c>
      <c r="CE33" s="11">
        <v>166.55</v>
      </c>
      <c r="CF33" s="11">
        <v>197.96</v>
      </c>
      <c r="CG33" s="11"/>
      <c r="CH33" s="11"/>
      <c r="CI33" s="11"/>
      <c r="CJ33" s="11">
        <v>205.87</v>
      </c>
      <c r="CK33" s="11">
        <v>210.91</v>
      </c>
      <c r="CL33" s="11">
        <v>208.75</v>
      </c>
      <c r="CM33" s="11">
        <v>183.56</v>
      </c>
      <c r="CN33" s="11"/>
      <c r="CO33" s="11"/>
      <c r="CP33" s="11"/>
      <c r="CQ33" s="11">
        <v>203.07</v>
      </c>
      <c r="CR33" s="11">
        <v>200.56</v>
      </c>
      <c r="CS33" s="11">
        <v>152.93</v>
      </c>
      <c r="CT33" s="11">
        <v>197.34</v>
      </c>
    </row>
    <row r="34" spans="1:98" ht="11.25">
      <c r="A34" s="123" t="s">
        <v>102</v>
      </c>
      <c r="B34" s="92" t="s">
        <v>38</v>
      </c>
      <c r="C34" s="55" t="s">
        <v>45</v>
      </c>
      <c r="D34" s="56" t="s">
        <v>78</v>
      </c>
      <c r="E34" s="56">
        <f t="shared" si="4"/>
        <v>47</v>
      </c>
      <c r="F34" s="56">
        <f>COUNTIF(J34:CT34,"&lt;=500")</f>
        <v>47</v>
      </c>
      <c r="G34" s="57">
        <f t="shared" si="0"/>
        <v>1</v>
      </c>
      <c r="H34" s="56" t="s">
        <v>133</v>
      </c>
      <c r="I34" s="103">
        <v>118.08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>
        <v>124.36</v>
      </c>
      <c r="V34" s="91">
        <v>124.96</v>
      </c>
      <c r="W34" s="91"/>
      <c r="X34" s="91">
        <v>125.26</v>
      </c>
      <c r="Y34" s="91">
        <v>90.54</v>
      </c>
      <c r="Z34" s="91"/>
      <c r="AA34" s="91"/>
      <c r="AB34" s="91"/>
      <c r="AC34" s="91">
        <v>93.09</v>
      </c>
      <c r="AD34" s="91">
        <v>120.26</v>
      </c>
      <c r="AE34" s="91"/>
      <c r="AF34" s="91">
        <v>120.2</v>
      </c>
      <c r="AG34" s="91">
        <v>123.981</v>
      </c>
      <c r="AH34" s="91"/>
      <c r="AI34" s="91">
        <v>135.38</v>
      </c>
      <c r="AJ34" s="91">
        <v>114.99</v>
      </c>
      <c r="AK34" s="91">
        <v>125.68</v>
      </c>
      <c r="AL34" s="91">
        <v>119.58</v>
      </c>
      <c r="AM34" s="91">
        <v>129.28</v>
      </c>
      <c r="AN34" s="91">
        <v>118.83</v>
      </c>
      <c r="AO34" s="91">
        <v>131.19</v>
      </c>
      <c r="AP34" s="91"/>
      <c r="AQ34" s="91"/>
      <c r="AR34" s="91"/>
      <c r="AS34" s="91">
        <v>135.02</v>
      </c>
      <c r="AT34" s="91">
        <v>141.09</v>
      </c>
      <c r="AU34" s="91">
        <v>123.26</v>
      </c>
      <c r="AV34" s="91">
        <v>135.84</v>
      </c>
      <c r="AW34" s="91"/>
      <c r="AX34" s="91"/>
      <c r="AY34" s="91"/>
      <c r="AZ34" s="91">
        <v>120.78</v>
      </c>
      <c r="BA34" s="91">
        <v>123.27</v>
      </c>
      <c r="BB34" s="91">
        <v>121.21</v>
      </c>
      <c r="BC34" s="91">
        <v>127.5</v>
      </c>
      <c r="BD34" s="91"/>
      <c r="BE34" s="91"/>
      <c r="BF34" s="91"/>
      <c r="BG34" s="91"/>
      <c r="BH34" s="91">
        <v>130.76</v>
      </c>
      <c r="BI34" s="91">
        <v>136.27</v>
      </c>
      <c r="BJ34" s="91">
        <v>133.08</v>
      </c>
      <c r="BK34" s="91">
        <v>130.54</v>
      </c>
      <c r="BL34" s="91"/>
      <c r="BM34" s="91"/>
      <c r="BN34" s="91"/>
      <c r="BO34" s="91">
        <v>169.92</v>
      </c>
      <c r="BP34" s="91">
        <v>168.16</v>
      </c>
      <c r="BQ34" s="91">
        <v>169.58</v>
      </c>
      <c r="BR34" s="91">
        <v>168.16</v>
      </c>
      <c r="BS34" s="91"/>
      <c r="BT34" s="91"/>
      <c r="BU34" s="91"/>
      <c r="BV34" s="91">
        <v>202.03</v>
      </c>
      <c r="BW34" s="91">
        <v>187.18</v>
      </c>
      <c r="BX34" s="91">
        <v>195.41</v>
      </c>
      <c r="BY34" s="91">
        <v>184.49</v>
      </c>
      <c r="BZ34" s="91"/>
      <c r="CA34" s="91">
        <v>184.79</v>
      </c>
      <c r="CB34" s="91"/>
      <c r="CC34" s="91"/>
      <c r="CD34" s="91">
        <v>188.77</v>
      </c>
      <c r="CE34" s="91">
        <v>182.24</v>
      </c>
      <c r="CF34" s="91">
        <v>191.72</v>
      </c>
      <c r="CG34" s="91"/>
      <c r="CH34" s="91"/>
      <c r="CI34" s="91"/>
      <c r="CJ34" s="91">
        <v>154.73</v>
      </c>
      <c r="CK34" s="91">
        <v>152.87</v>
      </c>
      <c r="CL34" s="91">
        <v>143.56</v>
      </c>
      <c r="CM34" s="91">
        <v>162.09</v>
      </c>
      <c r="CN34" s="91"/>
      <c r="CO34" s="91"/>
      <c r="CP34" s="91"/>
      <c r="CQ34" s="91">
        <v>156.84</v>
      </c>
      <c r="CR34" s="91">
        <v>162.03</v>
      </c>
      <c r="CS34" s="91">
        <v>160.77</v>
      </c>
      <c r="CT34" s="91">
        <v>160.73</v>
      </c>
    </row>
    <row r="35" spans="1:98" ht="12.75" customHeight="1">
      <c r="A35" s="124"/>
      <c r="B35" s="93"/>
      <c r="C35" s="58" t="s">
        <v>29</v>
      </c>
      <c r="D35" s="61" t="s">
        <v>71</v>
      </c>
      <c r="E35" s="59">
        <f t="shared" si="4"/>
        <v>47</v>
      </c>
      <c r="F35" s="59">
        <f>COUNTIF(J35:CT35,"&lt;=250")</f>
        <v>47</v>
      </c>
      <c r="G35" s="60">
        <f t="shared" si="0"/>
        <v>1</v>
      </c>
      <c r="H35" s="59" t="s">
        <v>133</v>
      </c>
      <c r="I35" s="104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>
        <v>124.36</v>
      </c>
      <c r="V35" s="91">
        <v>124.96</v>
      </c>
      <c r="W35" s="91"/>
      <c r="X35" s="91">
        <v>125.26</v>
      </c>
      <c r="Y35" s="91">
        <v>90.54</v>
      </c>
      <c r="Z35" s="91"/>
      <c r="AA35" s="91"/>
      <c r="AB35" s="91"/>
      <c r="AC35" s="91">
        <v>93.09</v>
      </c>
      <c r="AD35" s="91">
        <v>120.26</v>
      </c>
      <c r="AE35" s="91"/>
      <c r="AF35" s="91">
        <v>120.2</v>
      </c>
      <c r="AG35" s="91">
        <v>123.981</v>
      </c>
      <c r="AH35" s="91"/>
      <c r="AI35" s="91">
        <v>135.38</v>
      </c>
      <c r="AJ35" s="91">
        <v>114.99</v>
      </c>
      <c r="AK35" s="91">
        <v>125.68</v>
      </c>
      <c r="AL35" s="91">
        <v>119.58</v>
      </c>
      <c r="AM35" s="91">
        <v>129.28</v>
      </c>
      <c r="AN35" s="91">
        <v>118.83</v>
      </c>
      <c r="AO35" s="91">
        <v>131.19</v>
      </c>
      <c r="AP35" s="91"/>
      <c r="AQ35" s="91"/>
      <c r="AR35" s="91"/>
      <c r="AS35" s="91">
        <v>135.02</v>
      </c>
      <c r="AT35" s="91">
        <v>141.09</v>
      </c>
      <c r="AU35" s="91">
        <v>123.26</v>
      </c>
      <c r="AV35" s="91">
        <v>135.84</v>
      </c>
      <c r="AW35" s="91"/>
      <c r="AX35" s="91"/>
      <c r="AY35" s="91"/>
      <c r="AZ35" s="91">
        <v>120.78</v>
      </c>
      <c r="BA35" s="91">
        <v>123.27</v>
      </c>
      <c r="BB35" s="91">
        <v>121.21</v>
      </c>
      <c r="BC35" s="91">
        <v>127.5</v>
      </c>
      <c r="BD35" s="91"/>
      <c r="BE35" s="91"/>
      <c r="BF35" s="91"/>
      <c r="BG35" s="91"/>
      <c r="BH35" s="91">
        <v>130.76</v>
      </c>
      <c r="BI35" s="91">
        <v>136.27</v>
      </c>
      <c r="BJ35" s="91">
        <v>133.08</v>
      </c>
      <c r="BK35" s="91">
        <v>130.54</v>
      </c>
      <c r="BL35" s="91"/>
      <c r="BM35" s="91"/>
      <c r="BN35" s="91"/>
      <c r="BO35" s="91">
        <v>169.92</v>
      </c>
      <c r="BP35" s="91">
        <v>168.16</v>
      </c>
      <c r="BQ35" s="91">
        <v>169.58</v>
      </c>
      <c r="BR35" s="91">
        <v>168.16</v>
      </c>
      <c r="BS35" s="91"/>
      <c r="BT35" s="91"/>
      <c r="BU35" s="91"/>
      <c r="BV35" s="91">
        <v>202.03</v>
      </c>
      <c r="BW35" s="91">
        <v>187.18</v>
      </c>
      <c r="BX35" s="91">
        <v>195.41</v>
      </c>
      <c r="BY35" s="91">
        <v>184.49</v>
      </c>
      <c r="BZ35" s="91"/>
      <c r="CA35" s="91">
        <v>184.79</v>
      </c>
      <c r="CB35" s="91"/>
      <c r="CC35" s="91"/>
      <c r="CD35" s="91">
        <v>188.77</v>
      </c>
      <c r="CE35" s="91">
        <v>182.24</v>
      </c>
      <c r="CF35" s="91">
        <v>191.72</v>
      </c>
      <c r="CG35" s="91"/>
      <c r="CH35" s="91"/>
      <c r="CI35" s="91"/>
      <c r="CJ35" s="91">
        <v>154.73</v>
      </c>
      <c r="CK35" s="91">
        <v>152.87</v>
      </c>
      <c r="CL35" s="91">
        <v>143.56</v>
      </c>
      <c r="CM35" s="91">
        <v>162.09</v>
      </c>
      <c r="CN35" s="91"/>
      <c r="CO35" s="91"/>
      <c r="CP35" s="91"/>
      <c r="CQ35" s="91">
        <v>156.84</v>
      </c>
      <c r="CR35" s="91">
        <v>162.03</v>
      </c>
      <c r="CS35" s="91">
        <v>160.77</v>
      </c>
      <c r="CT35" s="91">
        <v>160.73</v>
      </c>
    </row>
    <row r="36" spans="1:98" ht="11.25">
      <c r="A36" s="67" t="s">
        <v>8</v>
      </c>
      <c r="B36" s="48" t="s">
        <v>38</v>
      </c>
      <c r="C36" s="58" t="s">
        <v>29</v>
      </c>
      <c r="D36" s="59" t="s">
        <v>79</v>
      </c>
      <c r="E36" s="59">
        <f t="shared" si="4"/>
        <v>47</v>
      </c>
      <c r="F36" s="59">
        <f>COUNTIF(J36:CT36,"&lt;=1,5")</f>
        <v>47</v>
      </c>
      <c r="G36" s="60">
        <f t="shared" si="0"/>
        <v>1</v>
      </c>
      <c r="H36" s="59" t="s">
        <v>133</v>
      </c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v>0.17</v>
      </c>
      <c r="V36" s="11">
        <v>0.18</v>
      </c>
      <c r="W36" s="11"/>
      <c r="X36" s="11">
        <v>0.18</v>
      </c>
      <c r="Y36" s="11">
        <v>0.199</v>
      </c>
      <c r="Z36" s="11"/>
      <c r="AA36" s="11"/>
      <c r="AB36" s="11"/>
      <c r="AC36" s="11">
        <v>0.201</v>
      </c>
      <c r="AD36" s="11">
        <v>0.199</v>
      </c>
      <c r="AE36" s="11"/>
      <c r="AF36" s="11">
        <v>0.186</v>
      </c>
      <c r="AG36" s="11">
        <v>0.22</v>
      </c>
      <c r="AH36" s="11"/>
      <c r="AI36" s="11">
        <v>0.21</v>
      </c>
      <c r="AJ36" s="11">
        <v>0.21</v>
      </c>
      <c r="AK36" s="83">
        <v>0.2</v>
      </c>
      <c r="AL36" s="11">
        <v>0.21</v>
      </c>
      <c r="AM36" s="11">
        <v>0.2</v>
      </c>
      <c r="AN36" s="11">
        <v>0.19</v>
      </c>
      <c r="AO36" s="11">
        <v>0.19</v>
      </c>
      <c r="AP36" s="11"/>
      <c r="AQ36" s="11"/>
      <c r="AR36" s="11"/>
      <c r="AS36" s="11">
        <v>0.228</v>
      </c>
      <c r="AT36" s="11">
        <v>0.223</v>
      </c>
      <c r="AU36" s="11">
        <v>0.237</v>
      </c>
      <c r="AV36" s="11">
        <v>0.233</v>
      </c>
      <c r="AW36" s="11"/>
      <c r="AX36" s="11"/>
      <c r="AY36" s="11"/>
      <c r="AZ36" s="11">
        <v>0.288</v>
      </c>
      <c r="BA36" s="11">
        <v>0.985</v>
      </c>
      <c r="BB36" s="11">
        <v>0.288</v>
      </c>
      <c r="BC36" s="11">
        <v>0.257</v>
      </c>
      <c r="BD36" s="11"/>
      <c r="BE36" s="11"/>
      <c r="BF36" s="11"/>
      <c r="BG36" s="11"/>
      <c r="BH36" s="11">
        <v>0.23</v>
      </c>
      <c r="BI36" s="11">
        <v>0.216</v>
      </c>
      <c r="BJ36" s="11">
        <v>0.219</v>
      </c>
      <c r="BK36" s="11">
        <v>0.225</v>
      </c>
      <c r="BL36" s="11"/>
      <c r="BM36" s="11"/>
      <c r="BN36" s="11"/>
      <c r="BO36" s="11">
        <v>0.277</v>
      </c>
      <c r="BP36" s="11">
        <v>0.293</v>
      </c>
      <c r="BQ36" s="11">
        <v>0.269</v>
      </c>
      <c r="BR36" s="11">
        <v>0.26</v>
      </c>
      <c r="BS36" s="11"/>
      <c r="BT36" s="11"/>
      <c r="BU36" s="11"/>
      <c r="BV36" s="11">
        <v>0.234</v>
      </c>
      <c r="BW36" s="11">
        <v>0.259</v>
      </c>
      <c r="BX36" s="11">
        <v>0.246</v>
      </c>
      <c r="BY36" s="11">
        <v>0.24</v>
      </c>
      <c r="BZ36" s="11"/>
      <c r="CA36" s="11">
        <v>0.26</v>
      </c>
      <c r="CB36" s="11"/>
      <c r="CC36" s="11"/>
      <c r="CD36" s="11">
        <v>0.25</v>
      </c>
      <c r="CE36" s="11">
        <v>0.24</v>
      </c>
      <c r="CF36" s="11">
        <v>0.24</v>
      </c>
      <c r="CG36" s="11"/>
      <c r="CH36" s="11"/>
      <c r="CI36" s="11"/>
      <c r="CJ36" s="11">
        <v>0.316</v>
      </c>
      <c r="CK36" s="11">
        <v>0.362</v>
      </c>
      <c r="CL36" s="11">
        <v>0.295</v>
      </c>
      <c r="CM36" s="11">
        <v>0.298</v>
      </c>
      <c r="CN36" s="11"/>
      <c r="CO36" s="11"/>
      <c r="CP36" s="11"/>
      <c r="CQ36" s="11">
        <v>0.21</v>
      </c>
      <c r="CR36" s="11">
        <v>0.22</v>
      </c>
      <c r="CS36" s="11">
        <v>0.2</v>
      </c>
      <c r="CT36" s="11">
        <v>0.21</v>
      </c>
    </row>
    <row r="37" spans="1:98" ht="11.25">
      <c r="A37" s="68" t="s">
        <v>127</v>
      </c>
      <c r="B37" s="48" t="s">
        <v>80</v>
      </c>
      <c r="C37" s="55" t="s">
        <v>45</v>
      </c>
      <c r="D37" s="56" t="s">
        <v>126</v>
      </c>
      <c r="E37" s="56">
        <f t="shared" si="4"/>
        <v>55</v>
      </c>
      <c r="F37" s="56">
        <f>COUNTIF(J37:CT37,"&lt;=11")</f>
        <v>55</v>
      </c>
      <c r="G37" s="57">
        <f t="shared" si="0"/>
        <v>1</v>
      </c>
      <c r="H37" s="56" t="s">
        <v>133</v>
      </c>
      <c r="I37" s="10">
        <f>+AVERAGE(J37:CT37)</f>
        <v>0.4538727272727272</v>
      </c>
      <c r="J37" s="11">
        <v>0.76</v>
      </c>
      <c r="K37" s="11">
        <v>0.74</v>
      </c>
      <c r="L37" s="11">
        <v>0.8</v>
      </c>
      <c r="M37" s="11">
        <v>0.77</v>
      </c>
      <c r="N37" s="11">
        <v>0.78</v>
      </c>
      <c r="O37" s="11">
        <v>0.75</v>
      </c>
      <c r="P37" s="11">
        <v>0.79</v>
      </c>
      <c r="Q37" s="11">
        <v>0.74</v>
      </c>
      <c r="R37" s="11"/>
      <c r="S37" s="11"/>
      <c r="T37" s="11"/>
      <c r="U37" s="11">
        <v>0.25</v>
      </c>
      <c r="V37" s="11">
        <v>0.26</v>
      </c>
      <c r="W37" s="11"/>
      <c r="X37" s="11">
        <v>0.25</v>
      </c>
      <c r="Y37" s="11">
        <v>0.191</v>
      </c>
      <c r="Z37" s="11"/>
      <c r="AA37" s="11"/>
      <c r="AB37" s="11"/>
      <c r="AC37" s="11">
        <v>0.189</v>
      </c>
      <c r="AD37" s="11">
        <v>0.256</v>
      </c>
      <c r="AE37" s="11"/>
      <c r="AF37" s="11">
        <v>0.26</v>
      </c>
      <c r="AG37" s="11">
        <v>0.24</v>
      </c>
      <c r="AH37" s="11"/>
      <c r="AI37" s="11">
        <v>0</v>
      </c>
      <c r="AJ37" s="11">
        <v>0.22</v>
      </c>
      <c r="AK37" s="11">
        <v>0.28</v>
      </c>
      <c r="AL37" s="11">
        <v>0.24</v>
      </c>
      <c r="AM37" s="11">
        <v>0.23</v>
      </c>
      <c r="AN37" s="11">
        <v>0.23</v>
      </c>
      <c r="AO37" s="11">
        <v>0.22</v>
      </c>
      <c r="AP37" s="11"/>
      <c r="AQ37" s="11"/>
      <c r="AR37" s="11"/>
      <c r="AS37" s="11">
        <v>0.324</v>
      </c>
      <c r="AT37" s="11">
        <v>0.325</v>
      </c>
      <c r="AU37" s="11">
        <v>0.3</v>
      </c>
      <c r="AV37" s="11">
        <v>0.346</v>
      </c>
      <c r="AW37" s="11"/>
      <c r="AX37" s="11"/>
      <c r="AY37" s="11"/>
      <c r="AZ37" s="11">
        <v>0.581</v>
      </c>
      <c r="BA37" s="11">
        <v>0.269</v>
      </c>
      <c r="BB37" s="11">
        <v>0.327</v>
      </c>
      <c r="BC37" s="11">
        <v>0.271</v>
      </c>
      <c r="BD37" s="11"/>
      <c r="BE37" s="11"/>
      <c r="BF37" s="11"/>
      <c r="BG37" s="11"/>
      <c r="BH37" s="11">
        <v>1.084</v>
      </c>
      <c r="BI37" s="11">
        <v>0.949</v>
      </c>
      <c r="BJ37" s="83">
        <v>0.979</v>
      </c>
      <c r="BK37" s="11">
        <v>0.954</v>
      </c>
      <c r="BL37" s="11"/>
      <c r="BM37" s="11"/>
      <c r="BN37" s="11"/>
      <c r="BO37" s="11">
        <v>0.772</v>
      </c>
      <c r="BP37" s="11">
        <v>0.276</v>
      </c>
      <c r="BQ37" s="11">
        <v>0.758</v>
      </c>
      <c r="BR37" s="11">
        <v>0.267</v>
      </c>
      <c r="BS37" s="11"/>
      <c r="BT37" s="11"/>
      <c r="BU37" s="11"/>
      <c r="BV37" s="11">
        <v>1.042</v>
      </c>
      <c r="BW37" s="11">
        <v>0.337</v>
      </c>
      <c r="BX37" s="11">
        <v>0.964</v>
      </c>
      <c r="BY37" s="11">
        <v>0.311</v>
      </c>
      <c r="BZ37" s="11"/>
      <c r="CA37" s="11">
        <v>0.37</v>
      </c>
      <c r="CB37" s="11"/>
      <c r="CC37" s="11"/>
      <c r="CD37" s="11">
        <v>0.23</v>
      </c>
      <c r="CE37" s="11">
        <v>0.26</v>
      </c>
      <c r="CF37" s="11">
        <v>0.22</v>
      </c>
      <c r="CG37" s="11"/>
      <c r="CH37" s="11"/>
      <c r="CI37" s="11"/>
      <c r="CJ37" s="11">
        <v>0.325</v>
      </c>
      <c r="CK37" s="11">
        <v>0.25</v>
      </c>
      <c r="CL37" s="11">
        <v>0.269</v>
      </c>
      <c r="CM37" s="11">
        <v>0.237</v>
      </c>
      <c r="CN37" s="11"/>
      <c r="CO37" s="11"/>
      <c r="CP37" s="11"/>
      <c r="CQ37" s="11">
        <v>0.66</v>
      </c>
      <c r="CR37" s="11">
        <v>0.2</v>
      </c>
      <c r="CS37" s="11">
        <v>0.85</v>
      </c>
      <c r="CT37" s="11">
        <v>0.21</v>
      </c>
    </row>
    <row r="38" spans="1:98" ht="11.25">
      <c r="A38" s="67" t="s">
        <v>81</v>
      </c>
      <c r="B38" s="52" t="s">
        <v>47</v>
      </c>
      <c r="C38" s="49" t="s">
        <v>43</v>
      </c>
      <c r="D38" s="50" t="s">
        <v>82</v>
      </c>
      <c r="E38" s="50">
        <f t="shared" si="4"/>
        <v>3</v>
      </c>
      <c r="F38" s="50">
        <f>COUNTIF(J38:CT38,"&lt;150")</f>
        <v>3</v>
      </c>
      <c r="G38" s="51">
        <f t="shared" si="0"/>
        <v>1</v>
      </c>
      <c r="H38" s="50" t="s">
        <v>133</v>
      </c>
      <c r="I38" s="10">
        <f>+AVERAGE(J38:CT38)</f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>
        <v>0</v>
      </c>
      <c r="V38" s="11">
        <v>0</v>
      </c>
      <c r="W38" s="11"/>
      <c r="X38" s="11"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</row>
    <row r="39" spans="1:98" ht="11.25">
      <c r="A39" s="67" t="s">
        <v>83</v>
      </c>
      <c r="B39" s="48" t="s">
        <v>47</v>
      </c>
      <c r="C39" s="49" t="s">
        <v>43</v>
      </c>
      <c r="D39" s="54" t="s">
        <v>101</v>
      </c>
      <c r="E39" s="50">
        <f>COUNT(J39:CT39)</f>
        <v>3</v>
      </c>
      <c r="F39" s="50">
        <f>COUNTIF(J39:CT39,"&lt;=500")</f>
        <v>3</v>
      </c>
      <c r="G39" s="51">
        <f t="shared" si="0"/>
        <v>1</v>
      </c>
      <c r="H39" s="50" t="s">
        <v>133</v>
      </c>
      <c r="I39" s="10">
        <f aca="true" t="shared" si="5" ref="I39:I49">+AVERAGE(J39:CT39)</f>
        <v>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v>0</v>
      </c>
      <c r="V39" s="11">
        <v>0</v>
      </c>
      <c r="W39" s="11"/>
      <c r="X39" s="11">
        <v>0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</row>
    <row r="40" spans="1:98" ht="11.25">
      <c r="A40" s="67" t="s">
        <v>84</v>
      </c>
      <c r="B40" s="48" t="s">
        <v>47</v>
      </c>
      <c r="C40" s="49" t="s">
        <v>43</v>
      </c>
      <c r="D40" s="50" t="s">
        <v>85</v>
      </c>
      <c r="E40" s="50">
        <f>COUNTA(J40:CT40)</f>
        <v>3</v>
      </c>
      <c r="F40" s="50">
        <f>COUNTIF(J40:CT40,"&lt;=2000")</f>
        <v>3</v>
      </c>
      <c r="G40" s="51">
        <f t="shared" si="0"/>
        <v>1</v>
      </c>
      <c r="H40" s="50" t="s">
        <v>133</v>
      </c>
      <c r="I40" s="10">
        <f t="shared" si="5"/>
        <v>19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v>18</v>
      </c>
      <c r="V40" s="11">
        <v>21</v>
      </c>
      <c r="W40" s="11"/>
      <c r="X40" s="11">
        <v>18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</row>
    <row r="41" spans="1:98" ht="11.25">
      <c r="A41" s="67" t="s">
        <v>86</v>
      </c>
      <c r="B41" s="48" t="s">
        <v>47</v>
      </c>
      <c r="C41" s="49" t="s">
        <v>43</v>
      </c>
      <c r="D41" s="50" t="s">
        <v>87</v>
      </c>
      <c r="E41" s="50">
        <f>COUNTA(J41:CT41)</f>
        <v>3</v>
      </c>
      <c r="F41" s="50">
        <f>COUNTIF(J41:CT41,"&lt;100")</f>
        <v>3</v>
      </c>
      <c r="G41" s="51">
        <f t="shared" si="0"/>
        <v>1</v>
      </c>
      <c r="H41" s="50" t="s">
        <v>133</v>
      </c>
      <c r="I41" s="10">
        <f t="shared" si="5"/>
        <v>7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83">
        <v>20</v>
      </c>
      <c r="V41" s="11">
        <v>0</v>
      </c>
      <c r="W41" s="11"/>
      <c r="X41" s="11">
        <v>1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</row>
    <row r="42" spans="1:98" ht="11.25">
      <c r="A42" s="67" t="s">
        <v>88</v>
      </c>
      <c r="B42" s="48" t="s">
        <v>47</v>
      </c>
      <c r="C42" s="49" t="s">
        <v>43</v>
      </c>
      <c r="D42" s="50" t="s">
        <v>89</v>
      </c>
      <c r="E42" s="50">
        <f>COUNTA(J42:CT42)</f>
        <v>3</v>
      </c>
      <c r="F42" s="50">
        <f>COUNTIF(J42:CT42,"&lt;5")</f>
        <v>3</v>
      </c>
      <c r="G42" s="51">
        <f t="shared" si="0"/>
        <v>1</v>
      </c>
      <c r="H42" s="50" t="s">
        <v>133</v>
      </c>
      <c r="I42" s="10">
        <f t="shared" si="5"/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>
        <v>0</v>
      </c>
      <c r="V42" s="11">
        <v>0</v>
      </c>
      <c r="W42" s="11"/>
      <c r="X42" s="11">
        <v>0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</row>
    <row r="43" spans="1:98" ht="11.25">
      <c r="A43" s="69" t="s">
        <v>90</v>
      </c>
      <c r="B43" s="53" t="s">
        <v>47</v>
      </c>
      <c r="C43" s="49" t="s">
        <v>43</v>
      </c>
      <c r="D43" s="50" t="s">
        <v>91</v>
      </c>
      <c r="E43" s="50">
        <f>COUNTA(J43:CT43)</f>
        <v>3</v>
      </c>
      <c r="F43" s="50">
        <f>COUNTIF(J43:CT43,"&lt;20")</f>
        <v>3</v>
      </c>
      <c r="G43" s="51">
        <f t="shared" si="0"/>
        <v>1</v>
      </c>
      <c r="H43" s="50" t="s">
        <v>133</v>
      </c>
      <c r="I43" s="10">
        <f t="shared" si="5"/>
        <v>0.6666666666666666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2</v>
      </c>
      <c r="V43" s="11">
        <v>0</v>
      </c>
      <c r="W43" s="11"/>
      <c r="X43" s="11">
        <v>0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  <row r="44" spans="1:98" ht="11.25">
      <c r="A44" s="67" t="s">
        <v>92</v>
      </c>
      <c r="B44" s="53" t="s">
        <v>47</v>
      </c>
      <c r="C44" s="55" t="s">
        <v>45</v>
      </c>
      <c r="D44" s="56" t="s">
        <v>93</v>
      </c>
      <c r="E44" s="56"/>
      <c r="F44" s="56"/>
      <c r="G44" s="57" t="e">
        <f t="shared" si="0"/>
        <v>#DIV/0!</v>
      </c>
      <c r="H44" s="56"/>
      <c r="I44" s="10" t="e">
        <f t="shared" si="5"/>
        <v>#DIV/0!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</row>
    <row r="45" spans="1:98" ht="11.25">
      <c r="A45" s="67" t="s">
        <v>94</v>
      </c>
      <c r="B45" s="48" t="s">
        <v>47</v>
      </c>
      <c r="C45" s="49" t="s">
        <v>43</v>
      </c>
      <c r="D45" s="50" t="s">
        <v>72</v>
      </c>
      <c r="E45" s="50">
        <f>COUNTA(J45:CT45)</f>
        <v>3</v>
      </c>
      <c r="F45" s="50">
        <f>COUNTIF(J45:CT45,"&lt;10")</f>
        <v>3</v>
      </c>
      <c r="G45" s="51">
        <f t="shared" si="0"/>
        <v>1</v>
      </c>
      <c r="H45" s="50" t="s">
        <v>133</v>
      </c>
      <c r="I45" s="10">
        <f t="shared" si="5"/>
        <v>1.3333333333333333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v>4</v>
      </c>
      <c r="V45" s="11">
        <v>0</v>
      </c>
      <c r="W45" s="11"/>
      <c r="X45" s="11">
        <v>0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</row>
    <row r="46" spans="1:98" ht="11.25">
      <c r="A46" s="67" t="s">
        <v>95</v>
      </c>
      <c r="B46" s="52" t="s">
        <v>47</v>
      </c>
      <c r="C46" s="49" t="s">
        <v>43</v>
      </c>
      <c r="D46" s="50" t="s">
        <v>96</v>
      </c>
      <c r="E46" s="50">
        <f>COUNTA(J46:CT46)</f>
        <v>3</v>
      </c>
      <c r="F46" s="50">
        <f>COUNTIF(J46:CT46,"&lt;=6")</f>
        <v>3</v>
      </c>
      <c r="G46" s="51">
        <f t="shared" si="0"/>
        <v>1</v>
      </c>
      <c r="H46" s="50" t="s">
        <v>133</v>
      </c>
      <c r="I46" s="10">
        <f t="shared" si="5"/>
        <v>2.3333333333333335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v>4</v>
      </c>
      <c r="V46" s="11">
        <v>1</v>
      </c>
      <c r="W46" s="11"/>
      <c r="X46" s="11">
        <v>2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</row>
    <row r="47" spans="1:98" ht="11.25">
      <c r="A47" s="67" t="s">
        <v>97</v>
      </c>
      <c r="B47" s="52" t="s">
        <v>47</v>
      </c>
      <c r="C47" s="49" t="s">
        <v>43</v>
      </c>
      <c r="D47" s="50" t="s">
        <v>91</v>
      </c>
      <c r="E47" s="50">
        <f>COUNTA(J47:CT47)</f>
        <v>3</v>
      </c>
      <c r="F47" s="50">
        <f>COUNTIF(J47:CT47,"&lt;20")</f>
        <v>3</v>
      </c>
      <c r="G47" s="51">
        <f t="shared" si="0"/>
        <v>1</v>
      </c>
      <c r="H47" s="50" t="s">
        <v>133</v>
      </c>
      <c r="I47" s="10">
        <f t="shared" si="5"/>
        <v>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>
        <v>0</v>
      </c>
      <c r="V47" s="11">
        <v>3</v>
      </c>
      <c r="W47" s="11"/>
      <c r="X47" s="11">
        <v>0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</row>
    <row r="48" spans="1:98" ht="11.25">
      <c r="A48" s="67" t="s">
        <v>98</v>
      </c>
      <c r="B48" s="52" t="s">
        <v>47</v>
      </c>
      <c r="C48" s="49" t="s">
        <v>43</v>
      </c>
      <c r="D48" s="50" t="s">
        <v>75</v>
      </c>
      <c r="E48" s="50">
        <f>COUNTA(J48:CT48)</f>
        <v>3</v>
      </c>
      <c r="F48" s="50">
        <f>COUNTIF(J48:CT48,"&lt;=200")</f>
        <v>3</v>
      </c>
      <c r="G48" s="51">
        <f t="shared" si="0"/>
        <v>1</v>
      </c>
      <c r="H48" s="50" t="s">
        <v>133</v>
      </c>
      <c r="I48" s="10">
        <f t="shared" si="5"/>
        <v>1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>
        <v>1</v>
      </c>
      <c r="V48" s="11">
        <v>1</v>
      </c>
      <c r="W48" s="11"/>
      <c r="X48" s="11">
        <v>1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</row>
    <row r="49" spans="1:98" ht="11.25">
      <c r="A49" s="67" t="s">
        <v>99</v>
      </c>
      <c r="B49" s="48" t="s">
        <v>47</v>
      </c>
      <c r="C49" s="49" t="s">
        <v>43</v>
      </c>
      <c r="D49" s="50" t="s">
        <v>100</v>
      </c>
      <c r="E49" s="50">
        <f>COUNTA(J49:CT49)</f>
        <v>3</v>
      </c>
      <c r="F49" s="50">
        <f>COUNTIF(J49:CT49,"&lt;=20")</f>
        <v>3</v>
      </c>
      <c r="G49" s="51">
        <f t="shared" si="0"/>
        <v>1</v>
      </c>
      <c r="H49" s="50" t="s">
        <v>133</v>
      </c>
      <c r="I49" s="10">
        <f t="shared" si="5"/>
        <v>4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4</v>
      </c>
      <c r="V49" s="11">
        <v>6</v>
      </c>
      <c r="W49" s="11"/>
      <c r="X49" s="11">
        <v>2</v>
      </c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</row>
    <row r="50" ht="11.25">
      <c r="H50" s="76"/>
    </row>
    <row r="51" spans="2:11" ht="11.25" customHeight="1">
      <c r="B51" s="105" t="s">
        <v>51</v>
      </c>
      <c r="C51" s="106"/>
      <c r="D51" s="107"/>
      <c r="E51" s="23">
        <f>E25+E34+E37+E44</f>
        <v>160</v>
      </c>
      <c r="F51" s="23">
        <f>F25+F34+F37+F44</f>
        <v>160</v>
      </c>
      <c r="G51" s="24">
        <f>+F51/E51</f>
        <v>1</v>
      </c>
      <c r="H51" s="79" t="s">
        <v>128</v>
      </c>
      <c r="I51" s="27"/>
      <c r="J51" s="85" t="s">
        <v>141</v>
      </c>
      <c r="K51" s="85"/>
    </row>
    <row r="52" spans="2:9" ht="11.25" customHeight="1">
      <c r="B52" s="114" t="s">
        <v>43</v>
      </c>
      <c r="C52" s="115"/>
      <c r="D52" s="116"/>
      <c r="E52" s="20">
        <f>+E22+E20+E19+E17+E28+E29+SUM(E38:E43)+SUM(E45:E49)</f>
        <v>268</v>
      </c>
      <c r="F52" s="20">
        <f>+F22+F20+F19+F17+F28+F29+SUM(F38:F43)+SUM(F45:F49)</f>
        <v>240</v>
      </c>
      <c r="G52" s="21">
        <f>+F52/E52</f>
        <v>0.8955223880597015</v>
      </c>
      <c r="H52" s="71" t="s">
        <v>129</v>
      </c>
      <c r="I52" s="27"/>
    </row>
    <row r="53" spans="2:9" ht="11.25" customHeight="1">
      <c r="B53" s="117" t="s">
        <v>29</v>
      </c>
      <c r="C53" s="118"/>
      <c r="D53" s="119"/>
      <c r="E53" s="34">
        <f>+E23+E21+E16+E14+E9+E8+E5+E18+E30+E32+E33+E35+E36</f>
        <v>464</v>
      </c>
      <c r="F53" s="34">
        <f>+F23+F21+F16+F14+F9+F8+F5+F18+F30+F32+F33+F35+F36</f>
        <v>458</v>
      </c>
      <c r="G53" s="14">
        <f>+F53/E53</f>
        <v>0.9870689655172413</v>
      </c>
      <c r="H53" s="41" t="s">
        <v>128</v>
      </c>
      <c r="I53" s="27"/>
    </row>
    <row r="54" spans="2:11" ht="11.25" customHeight="1">
      <c r="B54" s="120" t="s">
        <v>52</v>
      </c>
      <c r="C54" s="121"/>
      <c r="D54" s="122"/>
      <c r="E54" s="28">
        <f>+E22+E20+E16+E25+E17+E19+E28+E29+E31+E34+E37+SUM(E38:E49)</f>
        <v>434</v>
      </c>
      <c r="F54" s="28">
        <f>+F22+F20+F16+F25+F17+F19+F28+F29+F31+F34+F37+SUM(F38:F49)</f>
        <v>406</v>
      </c>
      <c r="G54" s="29">
        <f>+F54/E54</f>
        <v>0.9354838709677419</v>
      </c>
      <c r="H54" s="81" t="s">
        <v>130</v>
      </c>
      <c r="I54" s="27"/>
      <c r="J54" s="85" t="s">
        <v>142</v>
      </c>
      <c r="K54" s="85"/>
    </row>
    <row r="55" spans="2:9" ht="11.25" customHeight="1">
      <c r="B55" s="111" t="s">
        <v>53</v>
      </c>
      <c r="C55" s="112"/>
      <c r="D55" s="113"/>
      <c r="E55" s="33">
        <f>+E24+E7+E4+E14+E26+E27+E31</f>
        <v>222</v>
      </c>
      <c r="F55" s="33">
        <f>+F24+F7+F4+F14+F26+F27+F31</f>
        <v>207</v>
      </c>
      <c r="G55" s="9">
        <f>+F55/E55</f>
        <v>0.9324324324324325</v>
      </c>
      <c r="H55" s="78" t="s">
        <v>130</v>
      </c>
      <c r="I55" s="27"/>
    </row>
    <row r="58" spans="10:98" ht="11.25">
      <c r="J58" s="26"/>
      <c r="K58" s="26"/>
      <c r="CR58" s="26"/>
      <c r="CS58" s="26"/>
      <c r="CT58" s="26"/>
    </row>
    <row r="59" spans="10:98" ht="11.25">
      <c r="J59" s="26"/>
      <c r="K59" s="26"/>
      <c r="CR59" s="26"/>
      <c r="CS59" s="26"/>
      <c r="CT59" s="26"/>
    </row>
    <row r="60" spans="10:98" ht="11.25">
      <c r="J60" s="26"/>
      <c r="K60" s="26"/>
      <c r="CR60" s="26"/>
      <c r="CS60" s="26"/>
      <c r="CT60" s="26"/>
    </row>
    <row r="61" spans="10:98" ht="11.25">
      <c r="J61" s="26"/>
      <c r="K61" s="26"/>
      <c r="CR61" s="26"/>
      <c r="CS61" s="26"/>
      <c r="CT61" s="26"/>
    </row>
    <row r="62" spans="10:98" ht="11.25" customHeight="1">
      <c r="J62" s="26"/>
      <c r="K62" s="26"/>
      <c r="CQ62" s="26"/>
      <c r="CR62" s="26"/>
      <c r="CS62" s="26"/>
      <c r="CT62" s="26"/>
    </row>
    <row r="63" spans="10:98" ht="11.25">
      <c r="J63" s="26"/>
      <c r="K63" s="26"/>
      <c r="CQ63" s="26"/>
      <c r="CR63" s="26"/>
      <c r="CS63" s="26"/>
      <c r="CT63" s="26"/>
    </row>
    <row r="64" spans="10:98" ht="11.25">
      <c r="J64" s="26"/>
      <c r="K64" s="26"/>
      <c r="CQ64" s="26"/>
      <c r="CR64" s="26"/>
      <c r="CS64" s="26"/>
      <c r="CT64" s="26"/>
    </row>
    <row r="65" spans="10:98" ht="11.25">
      <c r="J65" s="26"/>
      <c r="K65" s="26"/>
      <c r="CQ65" s="26"/>
      <c r="CR65" s="26"/>
      <c r="CS65" s="26"/>
      <c r="CT65" s="26"/>
    </row>
    <row r="66" spans="10:98" ht="11.25">
      <c r="J66" s="26"/>
      <c r="K66" s="26"/>
      <c r="CQ66" s="26"/>
      <c r="CR66" s="26"/>
      <c r="CS66" s="26"/>
      <c r="CT66" s="26"/>
    </row>
    <row r="67" spans="10:98" ht="11.25">
      <c r="J67" s="26"/>
      <c r="K67" s="26"/>
      <c r="CQ67" s="26"/>
      <c r="CR67" s="26"/>
      <c r="CS67" s="26"/>
      <c r="CT67" s="26"/>
    </row>
    <row r="68" spans="10:98" ht="11.25">
      <c r="J68" s="26"/>
      <c r="K68" s="26"/>
      <c r="CQ68" s="26"/>
      <c r="CR68" s="26"/>
      <c r="CS68" s="26"/>
      <c r="CT68" s="26"/>
    </row>
    <row r="69" spans="10:98" ht="11.25">
      <c r="J69" s="26"/>
      <c r="K69" s="26"/>
      <c r="CQ69" s="26"/>
      <c r="CR69" s="26"/>
      <c r="CS69" s="26"/>
      <c r="CT69" s="26"/>
    </row>
    <row r="70" spans="10:98" ht="11.25">
      <c r="J70" s="26"/>
      <c r="K70" s="26"/>
      <c r="CQ70" s="26"/>
      <c r="CR70" s="26"/>
      <c r="CS70" s="26"/>
      <c r="CT70" s="26"/>
    </row>
    <row r="71" spans="10:98" ht="11.25">
      <c r="J71" s="26"/>
      <c r="K71" s="26"/>
      <c r="CQ71" s="26"/>
      <c r="CR71" s="26"/>
      <c r="CS71" s="26"/>
      <c r="CT71" s="26"/>
    </row>
    <row r="72" spans="10:98" ht="11.25">
      <c r="J72" s="26"/>
      <c r="K72" s="26"/>
      <c r="CQ72" s="26"/>
      <c r="CS72" s="26"/>
      <c r="CT72" s="26"/>
    </row>
    <row r="73" spans="10:98" ht="11.25">
      <c r="J73" s="26"/>
      <c r="K73" s="26"/>
      <c r="CQ73" s="26"/>
      <c r="CS73" s="26"/>
      <c r="CT73" s="26"/>
    </row>
    <row r="74" spans="10:98" ht="11.25">
      <c r="J74" s="26"/>
      <c r="K74" s="26"/>
      <c r="CQ74" s="26"/>
      <c r="CS74" s="26"/>
      <c r="CT74" s="26"/>
    </row>
    <row r="75" spans="10:98" ht="11.25">
      <c r="J75" s="26"/>
      <c r="K75" s="26"/>
      <c r="CQ75" s="26"/>
      <c r="CS75" s="26"/>
      <c r="CT75" s="26"/>
    </row>
    <row r="76" spans="10:98" ht="11.25">
      <c r="J76" s="26"/>
      <c r="K76" s="26"/>
      <c r="CT76" s="26"/>
    </row>
    <row r="77" spans="10:98" ht="11.25">
      <c r="J77" s="26"/>
      <c r="K77" s="26"/>
      <c r="CT77" s="26"/>
    </row>
    <row r="78" spans="10:98" ht="11.25" customHeight="1">
      <c r="J78" s="26"/>
      <c r="K78" s="26"/>
      <c r="CT78" s="26"/>
    </row>
    <row r="79" spans="10:11" ht="11.25">
      <c r="J79" s="26"/>
      <c r="K79" s="26"/>
    </row>
    <row r="80" spans="10:11" ht="11.25">
      <c r="J80" s="26"/>
      <c r="K80" s="26"/>
    </row>
    <row r="81" spans="10:11" ht="11.25">
      <c r="J81" s="26"/>
      <c r="K81" s="26"/>
    </row>
  </sheetData>
  <sheetProtection/>
  <mergeCells count="31">
    <mergeCell ref="BD2:BK2"/>
    <mergeCell ref="CN2:CT2"/>
    <mergeCell ref="BL2:BR2"/>
    <mergeCell ref="BS2:BY2"/>
    <mergeCell ref="BZ2:CF2"/>
    <mergeCell ref="CG2:CM2"/>
    <mergeCell ref="J2:Q2"/>
    <mergeCell ref="R2:X2"/>
    <mergeCell ref="Y2:AF2"/>
    <mergeCell ref="AG2:AO2"/>
    <mergeCell ref="AP2:AV2"/>
    <mergeCell ref="AW2:BC2"/>
    <mergeCell ref="B51:D51"/>
    <mergeCell ref="A22:A23"/>
    <mergeCell ref="B22:B23"/>
    <mergeCell ref="A20:A21"/>
    <mergeCell ref="B20:B21"/>
    <mergeCell ref="B55:D55"/>
    <mergeCell ref="B52:D52"/>
    <mergeCell ref="B53:D53"/>
    <mergeCell ref="B54:D54"/>
    <mergeCell ref="A34:A35"/>
    <mergeCell ref="B34:B35"/>
    <mergeCell ref="A2:C2"/>
    <mergeCell ref="E2:I2"/>
    <mergeCell ref="A7:A8"/>
    <mergeCell ref="B7:B8"/>
    <mergeCell ref="I7:I8"/>
    <mergeCell ref="I20:I21"/>
    <mergeCell ref="I22:I23"/>
    <mergeCell ref="I34:I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65" r:id="rId1"/>
  <colBreaks count="2" manualBreakCount="2">
    <brk id="41" max="55" man="1"/>
    <brk id="7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30">
      <selection activeCell="H57" sqref="H57"/>
    </sheetView>
  </sheetViews>
  <sheetFormatPr defaultColWidth="9.140625" defaultRowHeight="12.75"/>
  <cols>
    <col min="1" max="1" width="21.8515625" style="4" customWidth="1"/>
    <col min="2" max="2" width="8.421875" style="26" customWidth="1"/>
    <col min="3" max="3" width="15.8515625" style="4" customWidth="1"/>
    <col min="4" max="4" width="12.8515625" style="26" customWidth="1"/>
    <col min="5" max="5" width="7.00390625" style="26" customWidth="1"/>
    <col min="6" max="7" width="6.140625" style="26" customWidth="1"/>
    <col min="8" max="8" width="11.57421875" style="26" customWidth="1"/>
    <col min="9" max="9" width="6.57421875" style="26" bestFit="1" customWidth="1"/>
    <col min="10" max="21" width="6.7109375" style="4" customWidth="1"/>
    <col min="22" max="16384" width="9.140625" style="4" customWidth="1"/>
  </cols>
  <sheetData>
    <row r="1" ht="15.75">
      <c r="A1" s="38" t="s">
        <v>131</v>
      </c>
    </row>
    <row r="2" spans="1:21" s="1" customFormat="1" ht="24.75" customHeight="1">
      <c r="A2" s="94" t="s">
        <v>113</v>
      </c>
      <c r="B2" s="94"/>
      <c r="C2" s="94"/>
      <c r="D2" s="43" t="s">
        <v>60</v>
      </c>
      <c r="E2" s="95" t="s">
        <v>13</v>
      </c>
      <c r="F2" s="96"/>
      <c r="G2" s="96"/>
      <c r="H2" s="96"/>
      <c r="I2" s="97"/>
      <c r="J2" s="77" t="s">
        <v>115</v>
      </c>
      <c r="K2" s="77" t="s">
        <v>116</v>
      </c>
      <c r="L2" s="77" t="s">
        <v>117</v>
      </c>
      <c r="M2" s="77" t="s">
        <v>118</v>
      </c>
      <c r="N2" s="77" t="s">
        <v>119</v>
      </c>
      <c r="O2" s="77" t="s">
        <v>120</v>
      </c>
      <c r="P2" s="77" t="s">
        <v>121</v>
      </c>
      <c r="Q2" s="77" t="s">
        <v>122</v>
      </c>
      <c r="R2" s="77" t="s">
        <v>123</v>
      </c>
      <c r="S2" s="77" t="s">
        <v>124</v>
      </c>
      <c r="T2" s="77" t="s">
        <v>14</v>
      </c>
      <c r="U2" s="77" t="s">
        <v>125</v>
      </c>
    </row>
    <row r="3" spans="1:21" ht="82.5">
      <c r="A3" s="2" t="s">
        <v>15</v>
      </c>
      <c r="B3" s="2" t="s">
        <v>16</v>
      </c>
      <c r="C3" s="2" t="s">
        <v>17</v>
      </c>
      <c r="D3" s="43" t="s">
        <v>61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2" t="s">
        <v>114</v>
      </c>
      <c r="K3" s="42" t="s">
        <v>114</v>
      </c>
      <c r="L3" s="42" t="s">
        <v>114</v>
      </c>
      <c r="M3" s="42" t="s">
        <v>114</v>
      </c>
      <c r="N3" s="42" t="s">
        <v>114</v>
      </c>
      <c r="O3" s="42" t="s">
        <v>114</v>
      </c>
      <c r="P3" s="42" t="s">
        <v>114</v>
      </c>
      <c r="Q3" s="42" t="s">
        <v>114</v>
      </c>
      <c r="R3" s="42" t="s">
        <v>114</v>
      </c>
      <c r="S3" s="42" t="s">
        <v>114</v>
      </c>
      <c r="T3" s="42" t="s">
        <v>114</v>
      </c>
      <c r="U3" s="42" t="s">
        <v>114</v>
      </c>
    </row>
    <row r="4" spans="1:21" ht="11.25">
      <c r="A4" s="5" t="s">
        <v>23</v>
      </c>
      <c r="B4" s="6" t="s">
        <v>24</v>
      </c>
      <c r="C4" s="7" t="s">
        <v>25</v>
      </c>
      <c r="D4" s="8" t="s">
        <v>26</v>
      </c>
      <c r="E4" s="8">
        <f>COUNTA(J4:U4)</f>
        <v>12</v>
      </c>
      <c r="F4" s="33">
        <v>10</v>
      </c>
      <c r="G4" s="9">
        <f>+F4/E4</f>
        <v>0.8333333333333334</v>
      </c>
      <c r="H4" s="40" t="s">
        <v>128</v>
      </c>
      <c r="I4" s="10">
        <f>+AVERAGE(J4:U4)</f>
        <v>7.5227272727272725</v>
      </c>
      <c r="J4" s="31">
        <v>7.6</v>
      </c>
      <c r="K4" s="31">
        <v>7.2</v>
      </c>
      <c r="L4" s="31">
        <v>7.7</v>
      </c>
      <c r="M4" s="31">
        <v>7.8</v>
      </c>
      <c r="N4" s="31">
        <v>7.3</v>
      </c>
      <c r="O4" s="31" t="s">
        <v>140</v>
      </c>
      <c r="P4" s="31">
        <v>7.5</v>
      </c>
      <c r="Q4" s="31">
        <v>7.4</v>
      </c>
      <c r="R4" s="31">
        <v>7.7</v>
      </c>
      <c r="S4" s="31">
        <v>7.34</v>
      </c>
      <c r="T4" s="31">
        <v>7.6</v>
      </c>
      <c r="U4" s="31">
        <v>7.61</v>
      </c>
    </row>
    <row r="5" spans="1:21" ht="11.25">
      <c r="A5" s="66" t="s">
        <v>27</v>
      </c>
      <c r="B5" s="11" t="s">
        <v>28</v>
      </c>
      <c r="C5" s="12" t="s">
        <v>29</v>
      </c>
      <c r="D5" s="13" t="s">
        <v>30</v>
      </c>
      <c r="E5" s="13">
        <f>COUNTA(J5:U5)</f>
        <v>12</v>
      </c>
      <c r="F5" s="41">
        <f>COUNTIF(J5:U5,"&lt;=170")</f>
        <v>12</v>
      </c>
      <c r="G5" s="14">
        <f>+F5/E5</f>
        <v>1</v>
      </c>
      <c r="H5" s="41" t="s">
        <v>128</v>
      </c>
      <c r="I5" s="10">
        <f>+AVERAGE(J5:U5)</f>
        <v>117.01666666666667</v>
      </c>
      <c r="J5" s="32">
        <v>92</v>
      </c>
      <c r="K5" s="32">
        <v>90.2</v>
      </c>
      <c r="L5" s="32">
        <v>166</v>
      </c>
      <c r="M5" s="32">
        <v>97</v>
      </c>
      <c r="N5" s="32">
        <v>101</v>
      </c>
      <c r="O5" s="32">
        <v>159</v>
      </c>
      <c r="P5" s="32">
        <v>108</v>
      </c>
      <c r="Q5" s="32">
        <v>122</v>
      </c>
      <c r="R5" s="32">
        <v>116</v>
      </c>
      <c r="S5" s="32">
        <v>118</v>
      </c>
      <c r="T5" s="32">
        <v>123</v>
      </c>
      <c r="U5" s="32">
        <v>112</v>
      </c>
    </row>
    <row r="6" spans="1:21" ht="11.25">
      <c r="A6" s="72" t="s">
        <v>54</v>
      </c>
      <c r="B6" s="30"/>
      <c r="C6" s="5"/>
      <c r="D6" s="6" t="s">
        <v>12</v>
      </c>
      <c r="E6" s="6">
        <f>COUNTA(J6:U6)</f>
        <v>0</v>
      </c>
      <c r="F6" s="70"/>
      <c r="G6" s="17"/>
      <c r="H6" s="70"/>
      <c r="I6" s="1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1.25" customHeight="1">
      <c r="A7" s="98" t="s">
        <v>31</v>
      </c>
      <c r="B7" s="99" t="s">
        <v>32</v>
      </c>
      <c r="C7" s="7" t="s">
        <v>25</v>
      </c>
      <c r="D7" s="8" t="s">
        <v>33</v>
      </c>
      <c r="E7" s="8">
        <f>COUNTA(J7:U8)</f>
        <v>11</v>
      </c>
      <c r="F7" s="8">
        <f>COUNTIF(J7:U8,"&lt;=1")</f>
        <v>11</v>
      </c>
      <c r="G7" s="9">
        <f>+F7/E7</f>
        <v>1</v>
      </c>
      <c r="H7" s="78" t="s">
        <v>128</v>
      </c>
      <c r="I7" s="102">
        <f>+AVERAGE(J7:U7)</f>
        <v>0</v>
      </c>
      <c r="J7" s="129">
        <v>0</v>
      </c>
      <c r="K7" s="129">
        <v>0</v>
      </c>
      <c r="L7" s="129">
        <v>0</v>
      </c>
      <c r="M7" s="129"/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</row>
    <row r="8" spans="1:21" ht="11.25" customHeight="1">
      <c r="A8" s="98"/>
      <c r="B8" s="99"/>
      <c r="C8" s="12" t="s">
        <v>29</v>
      </c>
      <c r="D8" s="44" t="s">
        <v>62</v>
      </c>
      <c r="E8" s="13">
        <f>COUNTA(J7:U8)</f>
        <v>11</v>
      </c>
      <c r="F8" s="13">
        <f>COUNTIF(J7:U8,"&lt;=5")</f>
        <v>11</v>
      </c>
      <c r="G8" s="14">
        <f>+F8/E8</f>
        <v>1</v>
      </c>
      <c r="H8" s="41" t="s">
        <v>128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11.25" customHeight="1">
      <c r="A9" s="16" t="s">
        <v>34</v>
      </c>
      <c r="B9" s="11" t="s">
        <v>35</v>
      </c>
      <c r="C9" s="12" t="s">
        <v>29</v>
      </c>
      <c r="D9" s="35" t="s">
        <v>67</v>
      </c>
      <c r="E9" s="13">
        <f aca="true" t="shared" si="0" ref="E9:E16">COUNTA(J9:U9)</f>
        <v>0</v>
      </c>
      <c r="F9" s="13">
        <f>COUNTIF(J9:U9,"&lt;=20")</f>
        <v>0</v>
      </c>
      <c r="G9" s="14"/>
      <c r="H9" s="41"/>
      <c r="I9" s="1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1.25" customHeight="1">
      <c r="A10" s="67" t="s">
        <v>103</v>
      </c>
      <c r="B10" s="11"/>
      <c r="C10" s="5"/>
      <c r="D10" s="6" t="s">
        <v>12</v>
      </c>
      <c r="E10" s="6">
        <f>COUNTA(J10:U10)</f>
        <v>0</v>
      </c>
      <c r="F10" s="70"/>
      <c r="G10" s="17"/>
      <c r="H10" s="70"/>
      <c r="I10" s="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1.25" customHeight="1">
      <c r="A11" s="67" t="s">
        <v>104</v>
      </c>
      <c r="B11" s="11"/>
      <c r="C11" s="16"/>
      <c r="D11" s="6" t="s">
        <v>12</v>
      </c>
      <c r="E11" s="6">
        <f>COUNTA(J11:U11)</f>
        <v>0</v>
      </c>
      <c r="F11" s="70"/>
      <c r="G11" s="17"/>
      <c r="H11" s="70"/>
      <c r="I11" s="1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1.25">
      <c r="A12" s="16" t="s">
        <v>36</v>
      </c>
      <c r="B12" s="11"/>
      <c r="C12" s="16"/>
      <c r="D12" s="6" t="s">
        <v>12</v>
      </c>
      <c r="E12" s="6">
        <f>COUNTA(J12:U12)</f>
        <v>0</v>
      </c>
      <c r="F12" s="6"/>
      <c r="G12" s="17"/>
      <c r="H12" s="70"/>
      <c r="I12" s="10"/>
      <c r="J12" s="31"/>
      <c r="K12" s="31"/>
      <c r="L12" s="31"/>
      <c r="M12" s="31"/>
      <c r="N12" s="31"/>
      <c r="O12" s="31"/>
      <c r="P12" s="15"/>
      <c r="Q12" s="31"/>
      <c r="R12" s="15"/>
      <c r="S12" s="15"/>
      <c r="T12" s="31"/>
      <c r="U12" s="31"/>
    </row>
    <row r="13" spans="1:21" ht="11.25">
      <c r="A13" s="16" t="s">
        <v>37</v>
      </c>
      <c r="B13" s="11"/>
      <c r="C13" s="16"/>
      <c r="D13" s="6" t="s">
        <v>12</v>
      </c>
      <c r="E13" s="6">
        <f>COUNTA(J13:U13)</f>
        <v>0</v>
      </c>
      <c r="F13" s="6"/>
      <c r="G13" s="17"/>
      <c r="H13" s="70"/>
      <c r="I13" s="10"/>
      <c r="J13" s="31"/>
      <c r="K13" s="31"/>
      <c r="L13" s="31"/>
      <c r="M13" s="31"/>
      <c r="N13" s="31"/>
      <c r="O13" s="31"/>
      <c r="P13" s="31"/>
      <c r="Q13" s="15"/>
      <c r="R13" s="31"/>
      <c r="S13" s="31"/>
      <c r="T13" s="15"/>
      <c r="U13" s="15"/>
    </row>
    <row r="14" spans="1:21" ht="11.25">
      <c r="A14" s="16" t="s">
        <v>0</v>
      </c>
      <c r="B14" s="11" t="s">
        <v>38</v>
      </c>
      <c r="C14" s="12" t="s">
        <v>39</v>
      </c>
      <c r="D14" s="45" t="s">
        <v>63</v>
      </c>
      <c r="E14" s="13">
        <f t="shared" si="0"/>
        <v>1</v>
      </c>
      <c r="F14" s="18">
        <f>COUNTIF(J14:U14,"&lt;=150")</f>
        <v>1</v>
      </c>
      <c r="G14" s="14">
        <f>F14/E14</f>
        <v>1</v>
      </c>
      <c r="H14" s="41" t="s">
        <v>128</v>
      </c>
      <c r="I14" s="10">
        <f>+AVERAGE(J14:U14)</f>
        <v>54</v>
      </c>
      <c r="J14" s="31"/>
      <c r="K14" s="31">
        <v>54</v>
      </c>
      <c r="L14" s="31"/>
      <c r="M14" s="31"/>
      <c r="N14" s="31"/>
      <c r="O14" s="31"/>
      <c r="P14" s="15"/>
      <c r="Q14" s="31"/>
      <c r="R14" s="15"/>
      <c r="S14" s="15"/>
      <c r="T14" s="31"/>
      <c r="U14" s="31"/>
    </row>
    <row r="15" spans="1:21" ht="11.25">
      <c r="A15" s="73" t="s">
        <v>105</v>
      </c>
      <c r="B15" s="11"/>
      <c r="C15" s="16"/>
      <c r="D15" s="6" t="s">
        <v>12</v>
      </c>
      <c r="E15" s="6">
        <f t="shared" si="0"/>
        <v>0</v>
      </c>
      <c r="F15" s="6"/>
      <c r="G15" s="17"/>
      <c r="H15" s="70"/>
      <c r="I15" s="10"/>
      <c r="J15" s="31"/>
      <c r="K15" s="31"/>
      <c r="L15" s="31"/>
      <c r="M15" s="31"/>
      <c r="N15" s="31"/>
      <c r="O15" s="31"/>
      <c r="P15" s="31"/>
      <c r="Q15" s="15"/>
      <c r="R15" s="31"/>
      <c r="S15" s="31"/>
      <c r="T15" s="15"/>
      <c r="U15" s="15"/>
    </row>
    <row r="16" spans="1:21" ht="11.25">
      <c r="A16" s="16" t="s">
        <v>1</v>
      </c>
      <c r="B16" s="11" t="s">
        <v>38</v>
      </c>
      <c r="C16" s="12" t="s">
        <v>40</v>
      </c>
      <c r="D16" s="46" t="s">
        <v>64</v>
      </c>
      <c r="E16" s="13">
        <f t="shared" si="0"/>
        <v>1</v>
      </c>
      <c r="F16" s="18">
        <f>COUNTIF(J16:U16,"&lt;=70")</f>
        <v>1</v>
      </c>
      <c r="G16" s="14">
        <f aca="true" t="shared" si="1" ref="G16:G24">F16/E16</f>
        <v>1</v>
      </c>
      <c r="H16" s="41" t="s">
        <v>128</v>
      </c>
      <c r="I16" s="10">
        <f>+AVERAGE(J16:U16)</f>
        <v>31.84</v>
      </c>
      <c r="J16" s="31"/>
      <c r="K16" s="31">
        <v>31.84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1.25">
      <c r="A17" s="67" t="s">
        <v>6</v>
      </c>
      <c r="B17" s="11" t="s">
        <v>38</v>
      </c>
      <c r="C17" s="19" t="s">
        <v>43</v>
      </c>
      <c r="D17" s="20" t="s">
        <v>44</v>
      </c>
      <c r="E17" s="20">
        <f>COUNTA(J17:U17)</f>
        <v>10</v>
      </c>
      <c r="F17" s="71">
        <f>COUNTIF(J17:U17,"&lt;=1,5")</f>
        <v>10</v>
      </c>
      <c r="G17" s="21">
        <f t="shared" si="1"/>
        <v>1</v>
      </c>
      <c r="H17" s="71" t="s">
        <v>128</v>
      </c>
      <c r="I17" s="10">
        <f>+AVERAGE(J17:U17)</f>
        <v>0.194</v>
      </c>
      <c r="J17" s="31"/>
      <c r="K17" s="31">
        <v>0.23</v>
      </c>
      <c r="L17" s="31">
        <v>0.28</v>
      </c>
      <c r="M17" s="31"/>
      <c r="N17" s="31">
        <v>0.3</v>
      </c>
      <c r="O17" s="31">
        <v>0</v>
      </c>
      <c r="P17" s="32">
        <v>0.16</v>
      </c>
      <c r="Q17" s="32">
        <v>0.5</v>
      </c>
      <c r="R17" s="32">
        <v>0.2</v>
      </c>
      <c r="S17" s="32">
        <v>0.1</v>
      </c>
      <c r="T17" s="32">
        <v>0</v>
      </c>
      <c r="U17" s="32">
        <v>0.17</v>
      </c>
    </row>
    <row r="18" spans="1:21" ht="11.25">
      <c r="A18" s="67" t="s">
        <v>7</v>
      </c>
      <c r="B18" s="11" t="s">
        <v>38</v>
      </c>
      <c r="C18" s="12" t="s">
        <v>29</v>
      </c>
      <c r="D18" s="13" t="s">
        <v>46</v>
      </c>
      <c r="E18" s="13">
        <f>COUNTA(J18:U18)</f>
        <v>1</v>
      </c>
      <c r="F18" s="41">
        <f>COUNTIF(J18:U18,"&lt;=1200")</f>
        <v>1</v>
      </c>
      <c r="G18" s="14">
        <f t="shared" si="1"/>
        <v>1</v>
      </c>
      <c r="H18" s="41" t="s">
        <v>128</v>
      </c>
      <c r="I18" s="10">
        <f>+AVERAGE(J18:U18)</f>
        <v>542</v>
      </c>
      <c r="J18" s="31"/>
      <c r="K18" s="31">
        <v>542</v>
      </c>
      <c r="L18" s="31"/>
      <c r="M18" s="31"/>
      <c r="N18" s="31"/>
      <c r="O18" s="31"/>
      <c r="P18" s="32"/>
      <c r="Q18" s="32"/>
      <c r="R18" s="32"/>
      <c r="S18" s="32"/>
      <c r="T18" s="32"/>
      <c r="U18" s="32"/>
    </row>
    <row r="19" spans="1:21" ht="11.25">
      <c r="A19" s="16" t="s">
        <v>55</v>
      </c>
      <c r="B19" s="11"/>
      <c r="C19" s="37" t="s">
        <v>43</v>
      </c>
      <c r="D19" s="36" t="s">
        <v>68</v>
      </c>
      <c r="E19" s="20">
        <f>COUNTA(J19:U19)</f>
        <v>9</v>
      </c>
      <c r="F19" s="20">
        <f>COUNTIF(J19:U19,"&lt;=0,5")</f>
        <v>6</v>
      </c>
      <c r="G19" s="21">
        <f t="shared" si="1"/>
        <v>0.6666666666666666</v>
      </c>
      <c r="H19" s="71" t="s">
        <v>129</v>
      </c>
      <c r="I19" s="10">
        <f>+AVERAGE(J19:U19)</f>
        <v>0.28</v>
      </c>
      <c r="J19" s="31"/>
      <c r="K19" s="31"/>
      <c r="L19" s="31">
        <v>0.09</v>
      </c>
      <c r="M19" s="31"/>
      <c r="N19" s="31">
        <v>0.1</v>
      </c>
      <c r="O19" s="31">
        <v>0.57</v>
      </c>
      <c r="P19" s="32">
        <v>0.22</v>
      </c>
      <c r="Q19" s="32">
        <v>0</v>
      </c>
      <c r="R19" s="32">
        <v>0</v>
      </c>
      <c r="S19" s="32">
        <v>0.45</v>
      </c>
      <c r="T19" s="32">
        <v>0.51</v>
      </c>
      <c r="U19" s="32">
        <v>0.58</v>
      </c>
    </row>
    <row r="20" spans="1:21" ht="11.25" customHeight="1">
      <c r="A20" s="110" t="s">
        <v>9</v>
      </c>
      <c r="B20" s="109" t="s">
        <v>47</v>
      </c>
      <c r="C20" s="19" t="s">
        <v>43</v>
      </c>
      <c r="D20" s="47" t="s">
        <v>65</v>
      </c>
      <c r="E20" s="20">
        <f>COUNTA(J20:U21)</f>
        <v>11</v>
      </c>
      <c r="F20" s="20">
        <f>COUNTIF(J20:U21,"&lt;=2000")</f>
        <v>11</v>
      </c>
      <c r="G20" s="21">
        <f t="shared" si="1"/>
        <v>1</v>
      </c>
      <c r="H20" s="71" t="s">
        <v>128</v>
      </c>
      <c r="I20" s="10">
        <v>42.14</v>
      </c>
      <c r="J20" s="130">
        <v>0.001</v>
      </c>
      <c r="K20" s="130">
        <v>42</v>
      </c>
      <c r="L20" s="130">
        <v>0.04</v>
      </c>
      <c r="M20" s="130"/>
      <c r="N20" s="130">
        <v>0.02</v>
      </c>
      <c r="O20" s="130">
        <v>0.08</v>
      </c>
      <c r="P20" s="129">
        <v>0.16</v>
      </c>
      <c r="Q20" s="130">
        <v>0.02</v>
      </c>
      <c r="R20" s="129">
        <v>0</v>
      </c>
      <c r="S20" s="129">
        <v>0.021</v>
      </c>
      <c r="T20" s="130">
        <v>0</v>
      </c>
      <c r="U20" s="130">
        <v>0.023</v>
      </c>
    </row>
    <row r="21" spans="1:21" ht="11.25" customHeight="1">
      <c r="A21" s="110"/>
      <c r="B21" s="109"/>
      <c r="C21" s="12" t="s">
        <v>29</v>
      </c>
      <c r="D21" s="13" t="s">
        <v>42</v>
      </c>
      <c r="E21" s="13">
        <f>COUNTA(J20:U21)</f>
        <v>11</v>
      </c>
      <c r="F21" s="13">
        <f>COUNTIF(J20:U21,"&lt;=300")</f>
        <v>11</v>
      </c>
      <c r="G21" s="14">
        <f t="shared" si="1"/>
        <v>1</v>
      </c>
      <c r="H21" s="41" t="s">
        <v>128</v>
      </c>
      <c r="I21" s="10">
        <v>42.14</v>
      </c>
      <c r="J21" s="131"/>
      <c r="K21" s="131"/>
      <c r="L21" s="131"/>
      <c r="M21" s="131"/>
      <c r="N21" s="131"/>
      <c r="O21" s="131"/>
      <c r="P21" s="93"/>
      <c r="Q21" s="131"/>
      <c r="R21" s="93"/>
      <c r="S21" s="93"/>
      <c r="T21" s="131"/>
      <c r="U21" s="131"/>
    </row>
    <row r="22" spans="1:21" ht="11.25" customHeight="1">
      <c r="A22" s="108" t="s">
        <v>10</v>
      </c>
      <c r="B22" s="109" t="s">
        <v>47</v>
      </c>
      <c r="C22" s="19" t="s">
        <v>43</v>
      </c>
      <c r="D22" s="47" t="s">
        <v>66</v>
      </c>
      <c r="E22" s="20">
        <f>COUNTA(J22:U23)</f>
        <v>11</v>
      </c>
      <c r="F22" s="20">
        <f>COUNTIF(J22:U23,"&lt;=500")</f>
        <v>11</v>
      </c>
      <c r="G22" s="21">
        <f t="shared" si="1"/>
        <v>1</v>
      </c>
      <c r="H22" s="71" t="s">
        <v>128</v>
      </c>
      <c r="I22" s="102">
        <v>3.4</v>
      </c>
      <c r="J22" s="130">
        <v>0</v>
      </c>
      <c r="K22" s="130">
        <v>17</v>
      </c>
      <c r="L22" s="130">
        <v>0</v>
      </c>
      <c r="M22" s="130"/>
      <c r="N22" s="130">
        <v>0.001</v>
      </c>
      <c r="O22" s="130">
        <v>0.015</v>
      </c>
      <c r="P22" s="129">
        <v>0</v>
      </c>
      <c r="Q22" s="130">
        <v>0.004</v>
      </c>
      <c r="R22" s="129">
        <v>0.004</v>
      </c>
      <c r="S22" s="129">
        <v>0</v>
      </c>
      <c r="T22" s="130">
        <v>0.002</v>
      </c>
      <c r="U22" s="130">
        <v>0</v>
      </c>
    </row>
    <row r="23" spans="1:21" ht="11.25" customHeight="1">
      <c r="A23" s="108"/>
      <c r="B23" s="109"/>
      <c r="C23" s="12" t="s">
        <v>29</v>
      </c>
      <c r="D23" s="35" t="s">
        <v>69</v>
      </c>
      <c r="E23" s="13">
        <f>COUNTA(J22:U23)</f>
        <v>11</v>
      </c>
      <c r="F23" s="13">
        <f>COUNTIF(J22:U23,"&lt;=100")</f>
        <v>11</v>
      </c>
      <c r="G23" s="14">
        <f t="shared" si="1"/>
        <v>1</v>
      </c>
      <c r="H23" s="41" t="s">
        <v>128</v>
      </c>
      <c r="I23" s="93"/>
      <c r="J23" s="131"/>
      <c r="K23" s="131"/>
      <c r="L23" s="131"/>
      <c r="M23" s="131"/>
      <c r="N23" s="131"/>
      <c r="O23" s="131"/>
      <c r="P23" s="93"/>
      <c r="Q23" s="131"/>
      <c r="R23" s="93"/>
      <c r="S23" s="93"/>
      <c r="T23" s="131"/>
      <c r="U23" s="131"/>
    </row>
    <row r="24" spans="1:21" ht="11.25">
      <c r="A24" s="16" t="s">
        <v>11</v>
      </c>
      <c r="B24" s="11" t="s">
        <v>47</v>
      </c>
      <c r="C24" s="7" t="s">
        <v>25</v>
      </c>
      <c r="D24" s="8" t="s">
        <v>42</v>
      </c>
      <c r="E24" s="8">
        <f aca="true" t="shared" si="2" ref="E24:E33">COUNTA(J24:U24)</f>
        <v>10</v>
      </c>
      <c r="F24" s="8">
        <f>COUNTIF(J24:U24,"&lt;=300")</f>
        <v>10</v>
      </c>
      <c r="G24" s="9">
        <f t="shared" si="1"/>
        <v>1</v>
      </c>
      <c r="H24" s="40" t="s">
        <v>128</v>
      </c>
      <c r="I24" s="10">
        <f>+AVERAGE(J24:U24)</f>
        <v>0.3058</v>
      </c>
      <c r="J24" s="31"/>
      <c r="K24" s="31">
        <v>3</v>
      </c>
      <c r="L24" s="31">
        <v>0.007</v>
      </c>
      <c r="M24" s="31"/>
      <c r="N24" s="31">
        <v>0</v>
      </c>
      <c r="O24" s="31">
        <v>0.004</v>
      </c>
      <c r="P24" s="31">
        <v>0</v>
      </c>
      <c r="Q24" s="31">
        <v>0.004</v>
      </c>
      <c r="R24" s="31">
        <v>0.003</v>
      </c>
      <c r="S24" s="31">
        <v>0.02</v>
      </c>
      <c r="T24" s="31">
        <v>0.02</v>
      </c>
      <c r="U24" s="31">
        <v>0</v>
      </c>
    </row>
    <row r="25" spans="1:21" ht="11.25" customHeight="1">
      <c r="A25" s="39" t="s">
        <v>59</v>
      </c>
      <c r="B25" s="11" t="s">
        <v>48</v>
      </c>
      <c r="C25" s="22" t="s">
        <v>45</v>
      </c>
      <c r="D25" s="25" t="s">
        <v>50</v>
      </c>
      <c r="E25" s="23">
        <f t="shared" si="2"/>
        <v>11</v>
      </c>
      <c r="F25" s="23">
        <f>COUNTIF(J25:U25,"&lt;=0")</f>
        <v>11</v>
      </c>
      <c r="G25" s="24">
        <f>+F25/E25</f>
        <v>1</v>
      </c>
      <c r="H25" s="79" t="s">
        <v>128</v>
      </c>
      <c r="I25" s="10">
        <f>+AVERAGE(J25:U25)</f>
        <v>0</v>
      </c>
      <c r="J25" s="31">
        <v>0</v>
      </c>
      <c r="K25" s="31">
        <v>0</v>
      </c>
      <c r="L25" s="31">
        <v>0</v>
      </c>
      <c r="M25" s="31"/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</row>
    <row r="26" spans="1:21" ht="11.25">
      <c r="A26" s="39" t="s">
        <v>57</v>
      </c>
      <c r="B26" s="11" t="s">
        <v>48</v>
      </c>
      <c r="C26" s="7" t="s">
        <v>25</v>
      </c>
      <c r="D26" s="8" t="s">
        <v>49</v>
      </c>
      <c r="E26" s="8">
        <f t="shared" si="2"/>
        <v>11</v>
      </c>
      <c r="F26" s="8">
        <f>COUNTIF(J26:U26,"&lt;=10")</f>
        <v>11</v>
      </c>
      <c r="G26" s="9">
        <f>+F26/E26</f>
        <v>1</v>
      </c>
      <c r="H26" s="78" t="s">
        <v>128</v>
      </c>
      <c r="I26" s="10">
        <f>+AVERAGE(J26:U26)</f>
        <v>1.5454545454545454</v>
      </c>
      <c r="J26" s="31">
        <v>0</v>
      </c>
      <c r="K26" s="31">
        <v>1</v>
      </c>
      <c r="L26" s="31">
        <v>0</v>
      </c>
      <c r="M26" s="31"/>
      <c r="N26" s="31">
        <v>0</v>
      </c>
      <c r="O26" s="31">
        <v>0</v>
      </c>
      <c r="P26" s="31">
        <v>0</v>
      </c>
      <c r="Q26" s="31">
        <v>2</v>
      </c>
      <c r="R26" s="31">
        <v>0</v>
      </c>
      <c r="S26" s="31">
        <v>5</v>
      </c>
      <c r="T26" s="31">
        <v>0</v>
      </c>
      <c r="U26" s="31">
        <v>9</v>
      </c>
    </row>
    <row r="27" spans="1:21" ht="11.25" customHeight="1">
      <c r="A27" s="39" t="s">
        <v>58</v>
      </c>
      <c r="B27" s="11" t="s">
        <v>56</v>
      </c>
      <c r="C27" s="7" t="s">
        <v>25</v>
      </c>
      <c r="D27" s="40" t="s">
        <v>70</v>
      </c>
      <c r="E27" s="8">
        <f t="shared" si="2"/>
        <v>0</v>
      </c>
      <c r="F27" s="8">
        <f>COUNTIF(J27:U27,"&lt;=1000")</f>
        <v>0</v>
      </c>
      <c r="G27" s="9"/>
      <c r="H27" s="40"/>
      <c r="I27" s="1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1.25">
      <c r="A28" s="67" t="s">
        <v>73</v>
      </c>
      <c r="B28" s="11" t="s">
        <v>38</v>
      </c>
      <c r="C28" s="19" t="s">
        <v>43</v>
      </c>
      <c r="D28" s="47" t="s">
        <v>62</v>
      </c>
      <c r="E28" s="20">
        <f t="shared" si="2"/>
        <v>0</v>
      </c>
      <c r="F28" s="71">
        <f>COUNTIF(J28:U28,"&lt;=5")</f>
        <v>0</v>
      </c>
      <c r="G28" s="21" t="e">
        <f aca="true" t="shared" si="3" ref="G28:G36">F28/E28</f>
        <v>#DIV/0!</v>
      </c>
      <c r="H28" s="71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1.25">
      <c r="A29" s="67" t="s">
        <v>74</v>
      </c>
      <c r="B29" s="48" t="s">
        <v>38</v>
      </c>
      <c r="C29" s="49" t="s">
        <v>43</v>
      </c>
      <c r="D29" s="50" t="s">
        <v>72</v>
      </c>
      <c r="E29" s="50">
        <f t="shared" si="2"/>
        <v>4</v>
      </c>
      <c r="F29" s="50">
        <f>COUNTIF(J29:U29,"&lt;10")</f>
        <v>0</v>
      </c>
      <c r="G29" s="51">
        <f t="shared" si="3"/>
        <v>0</v>
      </c>
      <c r="H29" s="80"/>
      <c r="I29" s="10"/>
      <c r="J29" s="11"/>
      <c r="K29" s="11"/>
      <c r="L29" s="11"/>
      <c r="M29" s="11"/>
      <c r="N29" s="11"/>
      <c r="O29" s="11"/>
      <c r="P29" s="11"/>
      <c r="Q29" s="11"/>
      <c r="R29" s="11">
        <v>17.6</v>
      </c>
      <c r="S29" s="11">
        <v>17.5</v>
      </c>
      <c r="T29" s="11">
        <v>24.7</v>
      </c>
      <c r="U29" s="11">
        <v>75.4</v>
      </c>
    </row>
    <row r="30" spans="1:21" ht="11.25">
      <c r="A30" s="67" t="s">
        <v>2</v>
      </c>
      <c r="B30" s="48" t="s">
        <v>38</v>
      </c>
      <c r="C30" s="58" t="s">
        <v>29</v>
      </c>
      <c r="D30" s="59" t="s">
        <v>75</v>
      </c>
      <c r="E30" s="59">
        <f t="shared" si="2"/>
        <v>10</v>
      </c>
      <c r="F30" s="59">
        <f>COUNTIF(J30:U30,"&lt;=200")</f>
        <v>10</v>
      </c>
      <c r="G30" s="60">
        <f t="shared" si="3"/>
        <v>1</v>
      </c>
      <c r="H30" s="59" t="s">
        <v>128</v>
      </c>
      <c r="I30" s="10">
        <f>+AVERAGE(J30:U30)</f>
        <v>111.338</v>
      </c>
      <c r="J30" s="11"/>
      <c r="K30" s="11">
        <v>93.81</v>
      </c>
      <c r="L30" s="11">
        <v>89.73</v>
      </c>
      <c r="M30" s="11"/>
      <c r="N30" s="11">
        <v>82.94</v>
      </c>
      <c r="O30" s="11">
        <v>121.19</v>
      </c>
      <c r="P30" s="11">
        <v>97.36</v>
      </c>
      <c r="Q30" s="11">
        <v>114.86</v>
      </c>
      <c r="R30" s="11">
        <v>114.47</v>
      </c>
      <c r="S30" s="11">
        <v>121.54</v>
      </c>
      <c r="T30" s="11">
        <v>134.54</v>
      </c>
      <c r="U30" s="11">
        <v>142.94</v>
      </c>
    </row>
    <row r="31" spans="1:21" ht="11.25">
      <c r="A31" s="67" t="s">
        <v>3</v>
      </c>
      <c r="B31" s="48" t="s">
        <v>38</v>
      </c>
      <c r="C31" s="62" t="s">
        <v>41</v>
      </c>
      <c r="D31" s="63" t="s">
        <v>76</v>
      </c>
      <c r="E31" s="64">
        <f t="shared" si="2"/>
        <v>1</v>
      </c>
      <c r="F31" s="64">
        <f>COUNTIF(J31:U31,"&lt;=50")</f>
        <v>1</v>
      </c>
      <c r="G31" s="65">
        <f t="shared" si="3"/>
        <v>1</v>
      </c>
      <c r="H31" s="64" t="s">
        <v>128</v>
      </c>
      <c r="I31" s="10">
        <f>+AVERAGE(J31:U31)</f>
        <v>0.82</v>
      </c>
      <c r="J31" s="11"/>
      <c r="K31" s="11">
        <v>0.82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1.25">
      <c r="A32" s="67" t="s">
        <v>4</v>
      </c>
      <c r="B32" s="48" t="s">
        <v>38</v>
      </c>
      <c r="C32" s="58" t="s">
        <v>29</v>
      </c>
      <c r="D32" s="61" t="s">
        <v>62</v>
      </c>
      <c r="E32" s="59">
        <f t="shared" si="2"/>
        <v>9</v>
      </c>
      <c r="F32" s="59">
        <f>COUNTIF(J32:U32,"&lt;=5")</f>
        <v>9</v>
      </c>
      <c r="G32" s="60">
        <f t="shared" si="3"/>
        <v>1</v>
      </c>
      <c r="H32" s="59" t="s">
        <v>128</v>
      </c>
      <c r="I32" s="10">
        <f>+AVERAGE(J32:U32)</f>
        <v>0.05655555555555555</v>
      </c>
      <c r="J32" s="11"/>
      <c r="K32" s="11"/>
      <c r="L32" s="11">
        <v>0.05</v>
      </c>
      <c r="M32" s="11"/>
      <c r="N32" s="11">
        <v>0.032</v>
      </c>
      <c r="O32" s="11">
        <v>0.057</v>
      </c>
      <c r="P32" s="11">
        <v>0.077</v>
      </c>
      <c r="Q32" s="11">
        <v>0.058</v>
      </c>
      <c r="R32" s="11">
        <v>0.03</v>
      </c>
      <c r="S32" s="11">
        <v>0.05</v>
      </c>
      <c r="T32" s="11">
        <v>0.043</v>
      </c>
      <c r="U32" s="11">
        <v>0.112</v>
      </c>
    </row>
    <row r="33" spans="1:21" ht="11.25">
      <c r="A33" s="67" t="s">
        <v>5</v>
      </c>
      <c r="B33" s="48" t="s">
        <v>38</v>
      </c>
      <c r="C33" s="58" t="s">
        <v>29</v>
      </c>
      <c r="D33" s="59" t="s">
        <v>77</v>
      </c>
      <c r="E33" s="59">
        <f t="shared" si="2"/>
        <v>10</v>
      </c>
      <c r="F33" s="59">
        <f>COUNTIF(J33:U33,"&lt;=300")</f>
        <v>9</v>
      </c>
      <c r="G33" s="60">
        <f t="shared" si="3"/>
        <v>0.9</v>
      </c>
      <c r="H33" s="59" t="s">
        <v>129</v>
      </c>
      <c r="I33" s="10">
        <f>+AVERAGE(J33:U33)</f>
        <v>168.81699999999998</v>
      </c>
      <c r="J33" s="11"/>
      <c r="K33" s="11">
        <v>151.91</v>
      </c>
      <c r="L33" s="11">
        <v>153.04</v>
      </c>
      <c r="M33" s="11"/>
      <c r="N33" s="11">
        <v>147.11</v>
      </c>
      <c r="O33" s="11">
        <v>0.57</v>
      </c>
      <c r="P33" s="11">
        <v>170.72</v>
      </c>
      <c r="Q33" s="11">
        <v>175.64</v>
      </c>
      <c r="R33" s="11">
        <v>322.51</v>
      </c>
      <c r="S33" s="11">
        <v>175.31</v>
      </c>
      <c r="T33" s="11">
        <v>199.04</v>
      </c>
      <c r="U33" s="11">
        <v>192.32</v>
      </c>
    </row>
    <row r="34" spans="1:21" ht="11.25">
      <c r="A34" s="123" t="s">
        <v>102</v>
      </c>
      <c r="B34" s="92" t="s">
        <v>38</v>
      </c>
      <c r="C34" s="55" t="s">
        <v>45</v>
      </c>
      <c r="D34" s="56" t="s">
        <v>78</v>
      </c>
      <c r="E34" s="56">
        <f>COUNTA(J34:U35)</f>
        <v>10</v>
      </c>
      <c r="F34" s="56">
        <f>COUNTIF(J34:U35,"&lt;=500")</f>
        <v>10</v>
      </c>
      <c r="G34" s="57">
        <f t="shared" si="3"/>
        <v>1</v>
      </c>
      <c r="H34" s="56" t="s">
        <v>128</v>
      </c>
      <c r="I34" s="10">
        <v>68.12</v>
      </c>
      <c r="J34" s="132"/>
      <c r="K34" s="132">
        <v>36.67</v>
      </c>
      <c r="L34" s="132">
        <v>33.68</v>
      </c>
      <c r="M34" s="132"/>
      <c r="N34" s="132">
        <v>33.31</v>
      </c>
      <c r="O34" s="132">
        <v>168.81</v>
      </c>
      <c r="P34" s="132">
        <v>36.45</v>
      </c>
      <c r="Q34" s="132">
        <v>64.81</v>
      </c>
      <c r="R34" s="132">
        <v>44.98</v>
      </c>
      <c r="S34" s="132">
        <v>49.6</v>
      </c>
      <c r="T34" s="132">
        <v>34.76</v>
      </c>
      <c r="U34" s="132">
        <v>35.64</v>
      </c>
    </row>
    <row r="35" spans="1:21" ht="9.75" customHeight="1">
      <c r="A35" s="124"/>
      <c r="B35" s="93"/>
      <c r="C35" s="58" t="s">
        <v>29</v>
      </c>
      <c r="D35" s="61" t="s">
        <v>71</v>
      </c>
      <c r="E35" s="59">
        <f>COUNTA(J34:U35)</f>
        <v>10</v>
      </c>
      <c r="F35" s="59">
        <f>COUNTIF(J34:U35,"&lt;=250")</f>
        <v>10</v>
      </c>
      <c r="G35" s="60">
        <f t="shared" si="3"/>
        <v>1</v>
      </c>
      <c r="H35" s="59" t="s">
        <v>128</v>
      </c>
      <c r="I35" s="10">
        <v>68.12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1:21" ht="11.25">
      <c r="A36" s="67" t="s">
        <v>8</v>
      </c>
      <c r="B36" s="48" t="s">
        <v>38</v>
      </c>
      <c r="C36" s="58" t="s">
        <v>29</v>
      </c>
      <c r="D36" s="59" t="s">
        <v>79</v>
      </c>
      <c r="E36" s="59">
        <f aca="true" t="shared" si="4" ref="E36:E49">COUNTA(J36:U36)</f>
        <v>11</v>
      </c>
      <c r="F36" s="59">
        <f>COUNTIF(J36:U36,"&lt;=1,5")</f>
        <v>11</v>
      </c>
      <c r="G36" s="60">
        <f t="shared" si="3"/>
        <v>1</v>
      </c>
      <c r="H36" s="59" t="s">
        <v>128</v>
      </c>
      <c r="I36" s="10">
        <f aca="true" t="shared" si="5" ref="I36:I49">+AVERAGE(J36:U36)</f>
        <v>0.2651818181818182</v>
      </c>
      <c r="J36" s="11"/>
      <c r="K36" s="11">
        <v>0.21</v>
      </c>
      <c r="L36" s="11">
        <v>0.209</v>
      </c>
      <c r="M36" s="11">
        <v>0.01</v>
      </c>
      <c r="N36" s="11">
        <v>0</v>
      </c>
      <c r="O36" s="11">
        <v>0.28</v>
      </c>
      <c r="P36" s="11">
        <v>0.223</v>
      </c>
      <c r="Q36" s="11">
        <v>0.436</v>
      </c>
      <c r="R36" s="11">
        <v>0.268</v>
      </c>
      <c r="S36" s="11">
        <v>0.27</v>
      </c>
      <c r="T36" s="11">
        <v>0.751</v>
      </c>
      <c r="U36" s="11">
        <v>0.26</v>
      </c>
    </row>
    <row r="37" spans="1:21" ht="11.25">
      <c r="A37" s="68" t="s">
        <v>127</v>
      </c>
      <c r="B37" s="48" t="s">
        <v>80</v>
      </c>
      <c r="C37" s="55" t="s">
        <v>45</v>
      </c>
      <c r="D37" s="56" t="s">
        <v>126</v>
      </c>
      <c r="E37" s="56">
        <f t="shared" si="4"/>
        <v>12</v>
      </c>
      <c r="F37" s="56">
        <f>COUNTIF(J37:U37,"&lt;=11")</f>
        <v>12</v>
      </c>
      <c r="G37" s="57">
        <f>+F37/E37</f>
        <v>1</v>
      </c>
      <c r="H37" s="56" t="s">
        <v>128</v>
      </c>
      <c r="I37" s="10">
        <f t="shared" si="5"/>
        <v>0.8649999999999999</v>
      </c>
      <c r="J37" s="11">
        <v>1.07</v>
      </c>
      <c r="K37" s="11">
        <v>0.742</v>
      </c>
      <c r="L37" s="11">
        <v>0.656</v>
      </c>
      <c r="M37" s="11">
        <v>0.73</v>
      </c>
      <c r="N37" s="11">
        <v>0.742</v>
      </c>
      <c r="O37" s="11">
        <v>0.21</v>
      </c>
      <c r="P37" s="11">
        <v>0.973</v>
      </c>
      <c r="Q37" s="11">
        <v>1.612</v>
      </c>
      <c r="R37" s="11">
        <v>0.897</v>
      </c>
      <c r="S37" s="11">
        <v>0.9</v>
      </c>
      <c r="T37" s="11">
        <v>0.918</v>
      </c>
      <c r="U37" s="11">
        <v>0.93</v>
      </c>
    </row>
    <row r="38" spans="1:21" ht="11.25">
      <c r="A38" s="67" t="s">
        <v>81</v>
      </c>
      <c r="B38" s="52" t="s">
        <v>47</v>
      </c>
      <c r="C38" s="49" t="s">
        <v>43</v>
      </c>
      <c r="D38" s="50" t="s">
        <v>82</v>
      </c>
      <c r="E38" s="50">
        <f t="shared" si="4"/>
        <v>1</v>
      </c>
      <c r="F38" s="50">
        <f>COUNTIF(J38:U38,"&lt;150")</f>
        <v>1</v>
      </c>
      <c r="G38" s="57">
        <f aca="true" t="shared" si="6" ref="G38:G49">+F38/E38</f>
        <v>1</v>
      </c>
      <c r="H38" s="56" t="s">
        <v>128</v>
      </c>
      <c r="I38" s="10">
        <f t="shared" si="5"/>
        <v>0</v>
      </c>
      <c r="J38" s="11"/>
      <c r="K38" s="11"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1.25">
      <c r="A39" s="67" t="s">
        <v>83</v>
      </c>
      <c r="B39" s="48" t="s">
        <v>47</v>
      </c>
      <c r="C39" s="49" t="s">
        <v>43</v>
      </c>
      <c r="D39" s="54" t="s">
        <v>101</v>
      </c>
      <c r="E39" s="50">
        <f t="shared" si="4"/>
        <v>1</v>
      </c>
      <c r="F39" s="50">
        <f>COUNTIF(J39:U39,"&lt;=500")</f>
        <v>1</v>
      </c>
      <c r="G39" s="57">
        <f t="shared" si="6"/>
        <v>1</v>
      </c>
      <c r="H39" s="56" t="s">
        <v>128</v>
      </c>
      <c r="I39" s="10">
        <f t="shared" si="5"/>
        <v>0</v>
      </c>
      <c r="J39" s="11"/>
      <c r="K39" s="11"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1.25">
      <c r="A40" s="67" t="s">
        <v>84</v>
      </c>
      <c r="B40" s="48" t="s">
        <v>47</v>
      </c>
      <c r="C40" s="49" t="s">
        <v>43</v>
      </c>
      <c r="D40" s="50" t="s">
        <v>85</v>
      </c>
      <c r="E40" s="50">
        <f t="shared" si="4"/>
        <v>1</v>
      </c>
      <c r="F40" s="50">
        <f>COUNTIF(J40:U40,"&lt;=2000")</f>
        <v>1</v>
      </c>
      <c r="G40" s="57">
        <f t="shared" si="6"/>
        <v>1</v>
      </c>
      <c r="H40" s="56" t="s">
        <v>128</v>
      </c>
      <c r="I40" s="10">
        <f t="shared" si="5"/>
        <v>25</v>
      </c>
      <c r="J40" s="11"/>
      <c r="K40" s="11">
        <v>25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1.25">
      <c r="A41" s="67" t="s">
        <v>86</v>
      </c>
      <c r="B41" s="48" t="s">
        <v>47</v>
      </c>
      <c r="C41" s="49" t="s">
        <v>43</v>
      </c>
      <c r="D41" s="50" t="s">
        <v>87</v>
      </c>
      <c r="E41" s="50">
        <f t="shared" si="4"/>
        <v>1</v>
      </c>
      <c r="F41" s="50">
        <f>COUNTIF(J41:U41,"&lt;100")</f>
        <v>1</v>
      </c>
      <c r="G41" s="57">
        <f t="shared" si="6"/>
        <v>1</v>
      </c>
      <c r="H41" s="56" t="s">
        <v>128</v>
      </c>
      <c r="I41" s="10">
        <f t="shared" si="5"/>
        <v>0</v>
      </c>
      <c r="J41" s="11"/>
      <c r="K41" s="11"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1.25">
      <c r="A42" s="67" t="s">
        <v>88</v>
      </c>
      <c r="B42" s="48" t="s">
        <v>47</v>
      </c>
      <c r="C42" s="49" t="s">
        <v>43</v>
      </c>
      <c r="D42" s="50" t="s">
        <v>89</v>
      </c>
      <c r="E42" s="50">
        <f t="shared" si="4"/>
        <v>1</v>
      </c>
      <c r="F42" s="50">
        <f>COUNTIF(J42:U42,"&lt;5")</f>
        <v>1</v>
      </c>
      <c r="G42" s="57">
        <f t="shared" si="6"/>
        <v>1</v>
      </c>
      <c r="H42" s="56" t="s">
        <v>128</v>
      </c>
      <c r="I42" s="10">
        <f t="shared" si="5"/>
        <v>0</v>
      </c>
      <c r="J42" s="11"/>
      <c r="K42" s="11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1.25">
      <c r="A43" s="69" t="s">
        <v>90</v>
      </c>
      <c r="B43" s="53" t="s">
        <v>47</v>
      </c>
      <c r="C43" s="49" t="s">
        <v>43</v>
      </c>
      <c r="D43" s="50" t="s">
        <v>91</v>
      </c>
      <c r="E43" s="50">
        <f t="shared" si="4"/>
        <v>1</v>
      </c>
      <c r="F43" s="50">
        <f>COUNTIF(J43:U43,"&lt;20")</f>
        <v>1</v>
      </c>
      <c r="G43" s="57">
        <f t="shared" si="6"/>
        <v>1</v>
      </c>
      <c r="H43" s="56" t="s">
        <v>128</v>
      </c>
      <c r="I43" s="10">
        <f t="shared" si="5"/>
        <v>1</v>
      </c>
      <c r="J43" s="11"/>
      <c r="K43" s="11">
        <v>1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1.25">
      <c r="A44" s="67" t="s">
        <v>92</v>
      </c>
      <c r="B44" s="53" t="s">
        <v>47</v>
      </c>
      <c r="C44" s="55" t="s">
        <v>45</v>
      </c>
      <c r="D44" s="56" t="s">
        <v>93</v>
      </c>
      <c r="E44" s="56"/>
      <c r="F44" s="56"/>
      <c r="G44" s="57"/>
      <c r="H44" s="56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1.25">
      <c r="A45" s="67" t="s">
        <v>94</v>
      </c>
      <c r="B45" s="48" t="s">
        <v>47</v>
      </c>
      <c r="C45" s="49" t="s">
        <v>43</v>
      </c>
      <c r="D45" s="50" t="s">
        <v>72</v>
      </c>
      <c r="E45" s="50">
        <f t="shared" si="4"/>
        <v>1</v>
      </c>
      <c r="F45" s="50">
        <f>COUNTIF(J45:U45,"&lt;10")</f>
        <v>1</v>
      </c>
      <c r="G45" s="57">
        <f t="shared" si="6"/>
        <v>1</v>
      </c>
      <c r="H45" s="56" t="s">
        <v>128</v>
      </c>
      <c r="I45" s="10">
        <f t="shared" si="5"/>
        <v>0</v>
      </c>
      <c r="J45" s="11"/>
      <c r="K45" s="11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1.25">
      <c r="A46" s="67" t="s">
        <v>95</v>
      </c>
      <c r="B46" s="52" t="s">
        <v>47</v>
      </c>
      <c r="C46" s="49" t="s">
        <v>43</v>
      </c>
      <c r="D46" s="50" t="s">
        <v>96</v>
      </c>
      <c r="E46" s="50">
        <f t="shared" si="4"/>
        <v>1</v>
      </c>
      <c r="F46" s="50">
        <f>COUNTIF(J46:U46,"&lt;=6")</f>
        <v>1</v>
      </c>
      <c r="G46" s="57">
        <f t="shared" si="6"/>
        <v>1</v>
      </c>
      <c r="H46" s="56" t="s">
        <v>128</v>
      </c>
      <c r="I46" s="10">
        <f t="shared" si="5"/>
        <v>2</v>
      </c>
      <c r="J46" s="11"/>
      <c r="K46" s="11">
        <v>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1.25">
      <c r="A47" s="67" t="s">
        <v>97</v>
      </c>
      <c r="B47" s="52" t="s">
        <v>47</v>
      </c>
      <c r="C47" s="49" t="s">
        <v>43</v>
      </c>
      <c r="D47" s="50" t="s">
        <v>91</v>
      </c>
      <c r="E47" s="50">
        <f t="shared" si="4"/>
        <v>1</v>
      </c>
      <c r="F47" s="50">
        <f>COUNTIF(J47:U47,"&lt;20")</f>
        <v>1</v>
      </c>
      <c r="G47" s="57">
        <f t="shared" si="6"/>
        <v>1</v>
      </c>
      <c r="H47" s="56" t="s">
        <v>128</v>
      </c>
      <c r="I47" s="10">
        <f t="shared" si="5"/>
        <v>0</v>
      </c>
      <c r="J47" s="11"/>
      <c r="K47" s="11">
        <v>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1.25">
      <c r="A48" s="67" t="s">
        <v>98</v>
      </c>
      <c r="B48" s="52" t="s">
        <v>47</v>
      </c>
      <c r="C48" s="49" t="s">
        <v>43</v>
      </c>
      <c r="D48" s="50" t="s">
        <v>75</v>
      </c>
      <c r="E48" s="50">
        <f t="shared" si="4"/>
        <v>1</v>
      </c>
      <c r="F48" s="50">
        <f>COUNTIF(J48:U48,"&lt;=200")</f>
        <v>1</v>
      </c>
      <c r="G48" s="57">
        <f t="shared" si="6"/>
        <v>1</v>
      </c>
      <c r="H48" s="56" t="s">
        <v>128</v>
      </c>
      <c r="I48" s="10">
        <f t="shared" si="5"/>
        <v>0</v>
      </c>
      <c r="J48" s="11"/>
      <c r="K48" s="11"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1.25">
      <c r="A49" s="67" t="s">
        <v>99</v>
      </c>
      <c r="B49" s="48" t="s">
        <v>47</v>
      </c>
      <c r="C49" s="49" t="s">
        <v>43</v>
      </c>
      <c r="D49" s="50" t="s">
        <v>100</v>
      </c>
      <c r="E49" s="50">
        <f t="shared" si="4"/>
        <v>1</v>
      </c>
      <c r="F49" s="50">
        <f>COUNTIF(J49:U49,"&lt;=20")</f>
        <v>1</v>
      </c>
      <c r="G49" s="57">
        <f t="shared" si="6"/>
        <v>1</v>
      </c>
      <c r="H49" s="56" t="s">
        <v>128</v>
      </c>
      <c r="I49" s="10">
        <f t="shared" si="5"/>
        <v>3</v>
      </c>
      <c r="J49" s="11"/>
      <c r="K49" s="11">
        <v>3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ht="11.25">
      <c r="H50" s="76"/>
    </row>
    <row r="51" spans="2:11" ht="11.25" customHeight="1">
      <c r="B51" s="105" t="s">
        <v>51</v>
      </c>
      <c r="C51" s="106"/>
      <c r="D51" s="107"/>
      <c r="E51" s="23">
        <f>E25+E34+E37+E44</f>
        <v>33</v>
      </c>
      <c r="F51" s="23">
        <f>F25+F34+F37+F44</f>
        <v>33</v>
      </c>
      <c r="G51" s="24">
        <f>+F51/E51</f>
        <v>1</v>
      </c>
      <c r="H51" s="75" t="s">
        <v>128</v>
      </c>
      <c r="I51" s="27"/>
      <c r="J51" s="85" t="s">
        <v>141</v>
      </c>
      <c r="K51" s="85"/>
    </row>
    <row r="52" spans="2:9" ht="11.25" customHeight="1">
      <c r="B52" s="114" t="s">
        <v>43</v>
      </c>
      <c r="C52" s="115"/>
      <c r="D52" s="116"/>
      <c r="E52" s="20">
        <f>+E22+E20+E19+E17+E28+E29+SUM(E38:E43)+SUM(E45:E49)</f>
        <v>56</v>
      </c>
      <c r="F52" s="20">
        <f>+F22+F20+F19+F17+F28+F29+SUM(F38:F43)+SUM(F45:F49)</f>
        <v>49</v>
      </c>
      <c r="G52" s="21">
        <f>+F52/E52</f>
        <v>0.875</v>
      </c>
      <c r="H52" s="82" t="s">
        <v>129</v>
      </c>
      <c r="I52" s="27"/>
    </row>
    <row r="53" spans="2:9" ht="11.25" customHeight="1">
      <c r="B53" s="117" t="s">
        <v>29</v>
      </c>
      <c r="C53" s="118"/>
      <c r="D53" s="119"/>
      <c r="E53" s="34">
        <f>+E23+E21+E16+E14+E9+E8+E5+E18+E30+E32+E33+E35+E36</f>
        <v>98</v>
      </c>
      <c r="F53" s="34">
        <f>+F23+F21+F16+F14+F9+F8+F5+F18+F30+F32+F33+F35+F36</f>
        <v>97</v>
      </c>
      <c r="G53" s="14">
        <f>+F53/E53</f>
        <v>0.9897959183673469</v>
      </c>
      <c r="H53" s="41" t="s">
        <v>128</v>
      </c>
      <c r="I53" s="27"/>
    </row>
    <row r="54" spans="2:11" ht="11.25" customHeight="1">
      <c r="B54" s="120" t="s">
        <v>52</v>
      </c>
      <c r="C54" s="121"/>
      <c r="D54" s="122"/>
      <c r="E54" s="28">
        <f>+E22+E20+E16+E25+E17+E19+E28+E29+E31+E34+E37+SUM(E38:E49)</f>
        <v>91</v>
      </c>
      <c r="F54" s="28">
        <f>+F22+F20+F16+F25+F17+F19+F28+F29+F31+F34+F37+SUM(F38:F49)</f>
        <v>84</v>
      </c>
      <c r="G54" s="29">
        <f>+F54/E54</f>
        <v>0.9230769230769231</v>
      </c>
      <c r="H54" s="81" t="s">
        <v>130</v>
      </c>
      <c r="I54" s="27"/>
      <c r="J54" s="85" t="s">
        <v>142</v>
      </c>
      <c r="K54" s="85"/>
    </row>
    <row r="55" spans="2:9" ht="11.25" customHeight="1">
      <c r="B55" s="111" t="s">
        <v>53</v>
      </c>
      <c r="C55" s="112"/>
      <c r="D55" s="113"/>
      <c r="E55" s="33">
        <f>+E24+E7+E4+E14+E26+E27+E31</f>
        <v>46</v>
      </c>
      <c r="F55" s="33">
        <f>+F24+F7+F4+F14+F26+F27+F31</f>
        <v>44</v>
      </c>
      <c r="G55" s="9">
        <f>+F55/E55</f>
        <v>0.9565217391304348</v>
      </c>
      <c r="H55" s="78" t="s">
        <v>128</v>
      </c>
      <c r="I55" s="27"/>
    </row>
    <row r="58" spans="10:21" ht="11.25">
      <c r="J58" s="26"/>
      <c r="S58" s="26"/>
      <c r="T58" s="26"/>
      <c r="U58" s="26"/>
    </row>
    <row r="59" spans="10:21" ht="11.25">
      <c r="J59" s="26"/>
      <c r="S59" s="26"/>
      <c r="T59" s="26"/>
      <c r="U59" s="26"/>
    </row>
    <row r="60" spans="10:21" ht="11.25">
      <c r="J60" s="26"/>
      <c r="S60" s="26"/>
      <c r="T60" s="26"/>
      <c r="U60" s="26"/>
    </row>
    <row r="61" spans="10:21" ht="11.25">
      <c r="J61" s="26"/>
      <c r="S61" s="26"/>
      <c r="T61" s="26"/>
      <c r="U61" s="26"/>
    </row>
    <row r="62" spans="10:21" ht="11.25" customHeight="1">
      <c r="J62" s="26"/>
      <c r="R62" s="26"/>
      <c r="S62" s="26"/>
      <c r="T62" s="26"/>
      <c r="U62" s="26"/>
    </row>
    <row r="63" spans="10:21" ht="11.25">
      <c r="J63" s="26"/>
      <c r="R63" s="26"/>
      <c r="S63" s="26"/>
      <c r="T63" s="26"/>
      <c r="U63" s="26"/>
    </row>
    <row r="64" spans="10:21" ht="11.25">
      <c r="J64" s="26"/>
      <c r="R64" s="26"/>
      <c r="S64" s="26"/>
      <c r="T64" s="26"/>
      <c r="U64" s="26"/>
    </row>
    <row r="65" spans="10:21" ht="11.25">
      <c r="J65" s="26"/>
      <c r="R65" s="26"/>
      <c r="S65" s="26"/>
      <c r="T65" s="26"/>
      <c r="U65" s="26"/>
    </row>
    <row r="66" spans="10:21" ht="11.25">
      <c r="J66" s="26"/>
      <c r="R66" s="26"/>
      <c r="S66" s="26"/>
      <c r="T66" s="26"/>
      <c r="U66" s="26"/>
    </row>
    <row r="67" spans="10:21" ht="11.25">
      <c r="J67" s="26"/>
      <c r="R67" s="26"/>
      <c r="S67" s="26"/>
      <c r="T67" s="26"/>
      <c r="U67" s="26"/>
    </row>
    <row r="68" spans="10:21" ht="11.25">
      <c r="J68" s="26"/>
      <c r="R68" s="26"/>
      <c r="S68" s="26"/>
      <c r="T68" s="26"/>
      <c r="U68" s="26"/>
    </row>
    <row r="69" spans="10:21" ht="11.25">
      <c r="J69" s="26"/>
      <c r="R69" s="26"/>
      <c r="S69" s="26"/>
      <c r="T69" s="26"/>
      <c r="U69" s="26"/>
    </row>
    <row r="70" spans="10:21" ht="11.25">
      <c r="J70" s="26"/>
      <c r="R70" s="26"/>
      <c r="S70" s="26"/>
      <c r="T70" s="26"/>
      <c r="U70" s="26"/>
    </row>
    <row r="71" spans="10:21" ht="11.25">
      <c r="J71" s="26"/>
      <c r="R71" s="26"/>
      <c r="S71" s="26"/>
      <c r="T71" s="26"/>
      <c r="U71" s="26"/>
    </row>
    <row r="72" spans="10:21" ht="11.25">
      <c r="J72" s="26"/>
      <c r="R72" s="26"/>
      <c r="T72" s="26"/>
      <c r="U72" s="26"/>
    </row>
    <row r="73" spans="10:21" ht="11.25">
      <c r="J73" s="26"/>
      <c r="R73" s="26"/>
      <c r="T73" s="26"/>
      <c r="U73" s="26"/>
    </row>
    <row r="74" spans="10:21" ht="11.25">
      <c r="J74" s="26"/>
      <c r="R74" s="26"/>
      <c r="T74" s="26"/>
      <c r="U74" s="26"/>
    </row>
    <row r="75" spans="10:21" ht="11.25">
      <c r="J75" s="26"/>
      <c r="R75" s="26"/>
      <c r="T75" s="26"/>
      <c r="U75" s="26"/>
    </row>
    <row r="76" spans="10:21" ht="11.25">
      <c r="J76" s="26"/>
      <c r="U76" s="26"/>
    </row>
    <row r="77" spans="10:21" ht="11.25">
      <c r="J77" s="26"/>
      <c r="U77" s="26"/>
    </row>
    <row r="78" spans="10:21" ht="11.25" customHeight="1">
      <c r="J78" s="26"/>
      <c r="U78" s="26"/>
    </row>
    <row r="79" ht="11.25">
      <c r="J79" s="26"/>
    </row>
    <row r="80" ht="11.25">
      <c r="J80" s="26"/>
    </row>
    <row r="81" ht="11.25">
      <c r="J81" s="26"/>
    </row>
  </sheetData>
  <sheetProtection/>
  <mergeCells count="65">
    <mergeCell ref="T34:T35"/>
    <mergeCell ref="U34:U35"/>
    <mergeCell ref="B51:D51"/>
    <mergeCell ref="B52:D52"/>
    <mergeCell ref="B53:D53"/>
    <mergeCell ref="B54:D54"/>
    <mergeCell ref="N34:N35"/>
    <mergeCell ref="M34:M35"/>
    <mergeCell ref="O34:O35"/>
    <mergeCell ref="P34:P35"/>
    <mergeCell ref="Q34:Q35"/>
    <mergeCell ref="I22:I23"/>
    <mergeCell ref="I7:I8"/>
    <mergeCell ref="B55:D55"/>
    <mergeCell ref="S22:S23"/>
    <mergeCell ref="T22:T23"/>
    <mergeCell ref="O22:O23"/>
    <mergeCell ref="R34:R35"/>
    <mergeCell ref="S34:S35"/>
    <mergeCell ref="N20:N21"/>
    <mergeCell ref="A34:A35"/>
    <mergeCell ref="B34:B35"/>
    <mergeCell ref="J34:J35"/>
    <mergeCell ref="K34:K35"/>
    <mergeCell ref="L34:L35"/>
    <mergeCell ref="A22:A23"/>
    <mergeCell ref="B22:B23"/>
    <mergeCell ref="J22:J23"/>
    <mergeCell ref="K22:K23"/>
    <mergeCell ref="L22:L23"/>
    <mergeCell ref="M22:M23"/>
    <mergeCell ref="Q20:Q21"/>
    <mergeCell ref="R20:R21"/>
    <mergeCell ref="P22:P23"/>
    <mergeCell ref="Q22:Q23"/>
    <mergeCell ref="R22:R23"/>
    <mergeCell ref="N22:N23"/>
    <mergeCell ref="U22:U23"/>
    <mergeCell ref="T20:T21"/>
    <mergeCell ref="U20:U21"/>
    <mergeCell ref="S20:S21"/>
    <mergeCell ref="R7:R8"/>
    <mergeCell ref="S7:S8"/>
    <mergeCell ref="T7:T8"/>
    <mergeCell ref="U7:U8"/>
    <mergeCell ref="O7:O8"/>
    <mergeCell ref="P7:P8"/>
    <mergeCell ref="P20:P21"/>
    <mergeCell ref="O20:O21"/>
    <mergeCell ref="A20:A21"/>
    <mergeCell ref="B20:B21"/>
    <mergeCell ref="J20:J21"/>
    <mergeCell ref="K20:K21"/>
    <mergeCell ref="L20:L21"/>
    <mergeCell ref="M20:M21"/>
    <mergeCell ref="Q7:Q8"/>
    <mergeCell ref="A2:C2"/>
    <mergeCell ref="E2:I2"/>
    <mergeCell ref="A7:A8"/>
    <mergeCell ref="B7:B8"/>
    <mergeCell ref="J7:J8"/>
    <mergeCell ref="K7:K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2013-12-11T13:36:07Z</cp:lastPrinted>
  <dcterms:created xsi:type="dcterms:W3CDTF">2010-03-12T07:19:56Z</dcterms:created>
  <dcterms:modified xsi:type="dcterms:W3CDTF">2015-07-28T06:04:39Z</dcterms:modified>
  <cp:category/>
  <cp:version/>
  <cp:contentType/>
  <cp:contentStatus/>
</cp:coreProperties>
</file>