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aingsburg" sheetId="1" r:id="rId1"/>
    <sheet name="Matjiesfontein" sheetId="2" r:id="rId2"/>
  </sheets>
  <definedNames>
    <definedName name="_xlnm.Print_Area" localSheetId="0">'Laingsburg'!$A$1:$AT$56</definedName>
    <definedName name="_xlnm.Print_Titles" localSheetId="0">'Laingsburg'!$A:$I</definedName>
  </definedNames>
  <calcPr fullCalcOnLoad="1"/>
</workbook>
</file>

<file path=xl/sharedStrings.xml><?xml version="1.0" encoding="utf-8"?>
<sst xmlns="http://schemas.openxmlformats.org/spreadsheetml/2006/main" count="529" uniqueCount="157">
  <si>
    <t>Calcium (as Ca)</t>
  </si>
  <si>
    <t>Magnesium (as Mg)</t>
  </si>
  <si>
    <t>Sodium (as Na)</t>
  </si>
  <si>
    <t>Potassium (as K)</t>
  </si>
  <si>
    <t>Zinc (as Zn)</t>
  </si>
  <si>
    <t>Chloride (as Cl)</t>
  </si>
  <si>
    <t>Fluoride (as F)</t>
  </si>
  <si>
    <t>Total Dissolved Solids</t>
  </si>
  <si>
    <t>Ammonia Nitrogen (as N)</t>
  </si>
  <si>
    <t>Iron (as Fe)</t>
  </si>
  <si>
    <t>Manganese (as Mn)</t>
  </si>
  <si>
    <t>Aluminium (as Al)</t>
  </si>
  <si>
    <t>-</t>
  </si>
  <si>
    <t>Compliance Calculations</t>
  </si>
  <si>
    <t>May</t>
  </si>
  <si>
    <t>Parameter</t>
  </si>
  <si>
    <t>Unit</t>
  </si>
  <si>
    <t>Risk</t>
  </si>
  <si>
    <t>Total Number of Samples</t>
  </si>
  <si>
    <t>Number of Samples Complying</t>
  </si>
  <si>
    <t>% Compliance Achieved</t>
  </si>
  <si>
    <t>Performance</t>
  </si>
  <si>
    <t>Average</t>
  </si>
  <si>
    <t>pH (at 25°C)</t>
  </si>
  <si>
    <t>pH</t>
  </si>
  <si>
    <t>Operational</t>
  </si>
  <si>
    <r>
      <rPr>
        <u val="single"/>
        <sz val="8"/>
        <color indexed="8"/>
        <rFont val="Arial"/>
        <family val="2"/>
      </rPr>
      <t>&gt;</t>
    </r>
    <r>
      <rPr>
        <sz val="8"/>
        <color indexed="8"/>
        <rFont val="Arial"/>
        <family val="2"/>
      </rPr>
      <t xml:space="preserve">5.0 - </t>
    </r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9.7</t>
    </r>
  </si>
  <si>
    <t>Conductivity</t>
  </si>
  <si>
    <t>mS/m</t>
  </si>
  <si>
    <t>Aesthetic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</si>
  <si>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170</t>
    </r>
  </si>
  <si>
    <t>Turbidity</t>
  </si>
  <si>
    <t>NTU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</si>
  <si>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</t>
    </r>
  </si>
  <si>
    <t>Colour (as Pt)</t>
  </si>
  <si>
    <t>mg/L Pt-Co</t>
  </si>
  <si>
    <r>
      <t>Total Hardness (as CaCO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</si>
  <si>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Calcium Hardness (as CaCO3)</t>
  </si>
  <si>
    <t>mg/L</t>
  </si>
  <si>
    <t>Aesthetic / Operation</t>
  </si>
  <si>
    <t>Aesthetic / Health</t>
  </si>
  <si>
    <t>Operational / Health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</si>
  <si>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300</t>
    </r>
  </si>
  <si>
    <t>Chronic Health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</si>
  <si>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1.5</t>
    </r>
  </si>
  <si>
    <t>Acute Health - 1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</si>
  <si>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1 200</t>
    </r>
  </si>
  <si>
    <t>ug/L</t>
  </si>
  <si>
    <t>cfu/100ml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</si>
  <si>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10</t>
    </r>
  </si>
  <si>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0</t>
    </r>
  </si>
  <si>
    <t>Acute Health - 1 Chemical</t>
  </si>
  <si>
    <t>Risk Assessment Defined Health (Acute or Chronic)</t>
  </si>
  <si>
    <t>Operational Efficiency</t>
  </si>
  <si>
    <t>Langelier Saturation Index</t>
  </si>
  <si>
    <t>Free Chlorine</t>
  </si>
  <si>
    <t>cfu/ml</t>
  </si>
  <si>
    <t>Total Coliform Bacteria</t>
  </si>
  <si>
    <t>Heterotrophic Plate Count</t>
  </si>
  <si>
    <t>Escherichia Coli</t>
  </si>
  <si>
    <t>2014 Blue Drop Limits</t>
  </si>
  <si>
    <r>
      <t xml:space="preserve">Standard Limits </t>
    </r>
    <r>
      <rPr>
        <sz val="8"/>
        <color indexed="12"/>
        <rFont val="Arial"/>
        <family val="2"/>
      </rPr>
      <t>(</t>
    </r>
    <r>
      <rPr>
        <sz val="8"/>
        <color indexed="17"/>
        <rFont val="Arial"/>
        <family val="2"/>
      </rPr>
      <t>SANS 241-2011</t>
    </r>
    <r>
      <rPr>
        <sz val="8"/>
        <color indexed="12"/>
        <rFont val="Arial"/>
        <family val="2"/>
      </rPr>
      <t xml:space="preserve"> and SANS 241-2006 Class I)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</si>
  <si>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5</t>
    </r>
  </si>
  <si>
    <r>
      <rPr>
        <b/>
        <u val="single"/>
        <sz val="8"/>
        <color indexed="12"/>
        <rFont val="Arial"/>
        <family val="2"/>
      </rPr>
      <t>&lt;</t>
    </r>
    <r>
      <rPr>
        <b/>
        <sz val="8"/>
        <color indexed="12"/>
        <rFont val="Arial"/>
        <family val="2"/>
      </rPr>
      <t xml:space="preserve"> 150</t>
    </r>
  </si>
  <si>
    <r>
      <rPr>
        <b/>
        <u val="single"/>
        <sz val="8"/>
        <color indexed="12"/>
        <rFont val="Arial"/>
        <family val="2"/>
      </rPr>
      <t>&lt;</t>
    </r>
    <r>
      <rPr>
        <b/>
        <sz val="8"/>
        <color indexed="12"/>
        <rFont val="Arial"/>
        <family val="2"/>
      </rPr>
      <t xml:space="preserve"> 70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</si>
  <si>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2 000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</si>
  <si>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500</t>
    </r>
  </si>
  <si>
    <r>
      <t>&lt;</t>
    </r>
    <r>
      <rPr>
        <sz val="8"/>
        <color indexed="8"/>
        <rFont val="Arial"/>
        <family val="2"/>
      </rPr>
      <t xml:space="preserve"> 20</t>
    </r>
  </si>
  <si>
    <r>
      <t xml:space="preserve">&gt; 0 - </t>
    </r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0.5</t>
    </r>
  </si>
  <si>
    <r>
      <rPr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100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</si>
  <si>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1000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</si>
  <si>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250</t>
    </r>
  </si>
  <si>
    <t>&lt; 10</t>
  </si>
  <si>
    <t>Total Chlorine</t>
  </si>
  <si>
    <t>Dissolved Organic Carbon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</si>
  <si>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200</t>
    </r>
  </si>
  <si>
    <r>
      <rPr>
        <b/>
        <u val="single"/>
        <sz val="8"/>
        <color indexed="12"/>
        <rFont val="Arial"/>
        <family val="2"/>
      </rPr>
      <t>&lt;</t>
    </r>
    <r>
      <rPr>
        <b/>
        <sz val="8"/>
        <color indexed="12"/>
        <rFont val="Arial"/>
        <family val="2"/>
      </rPr>
      <t xml:space="preserve"> 50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</si>
  <si>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300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</si>
  <si>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500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</si>
  <si>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1.5</t>
    </r>
  </si>
  <si>
    <t xml:space="preserve">mg/L </t>
  </si>
  <si>
    <t>Nickel (as Ni)</t>
  </si>
  <si>
    <t>&lt; 150</t>
  </si>
  <si>
    <t>Cobalt (as Co)</t>
  </si>
  <si>
    <t>Copper (as Cu)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</si>
  <si>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2000</t>
    </r>
  </si>
  <si>
    <t>Chromium (as Cr)</t>
  </si>
  <si>
    <t>&lt; 100</t>
  </si>
  <si>
    <t>Cadmium (as Cd)</t>
  </si>
  <si>
    <t>&lt; 5</t>
  </si>
  <si>
    <t>Lead (as Pb)</t>
  </si>
  <si>
    <t>&lt; 20</t>
  </si>
  <si>
    <t>Cyanide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</si>
  <si>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70</t>
    </r>
  </si>
  <si>
    <t>Arsenic (as As)</t>
  </si>
  <si>
    <t>Mercury (as Hg)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</si>
  <si>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6</t>
    </r>
  </si>
  <si>
    <t>Selenium (as Se)</t>
  </si>
  <si>
    <t>Vanadium (as V)</t>
  </si>
  <si>
    <t>Antimony (as Sb)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</si>
  <si>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20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</si>
  <si>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>500</t>
    </r>
  </si>
  <si>
    <r>
      <t>Sulphate (as SO</t>
    </r>
    <r>
      <rPr>
        <vertAlign val="sub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>)</t>
    </r>
  </si>
  <si>
    <r>
      <t>CaCO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Precipitation Potential</t>
    </r>
  </si>
  <si>
    <r>
      <t>Total Alkalinity (as CaCO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</si>
  <si>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Magnesium Hardness (as CaCO3)</t>
  </si>
  <si>
    <t>Laingsburg</t>
  </si>
  <si>
    <t>Goldnerville House</t>
  </si>
  <si>
    <t>Matjiesfontein</t>
  </si>
  <si>
    <t>Matjiesfontein Tap</t>
  </si>
  <si>
    <t>Jul</t>
  </si>
  <si>
    <t>Aug</t>
  </si>
  <si>
    <t>Sept</t>
  </si>
  <si>
    <t>Oct</t>
  </si>
  <si>
    <t>Nov</t>
  </si>
  <si>
    <t>Dec</t>
  </si>
  <si>
    <t>Jan</t>
  </si>
  <si>
    <t>Febr</t>
  </si>
  <si>
    <t>Mar</t>
  </si>
  <si>
    <t>Apr</t>
  </si>
  <si>
    <t>Jun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</si>
  <si>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11</t>
    </r>
  </si>
  <si>
    <t>Nitrate as N</t>
  </si>
  <si>
    <t>Excellent</t>
  </si>
  <si>
    <t>Unacceptable</t>
  </si>
  <si>
    <t>Good</t>
  </si>
  <si>
    <t>COMPLIANCE SAMPLE RESULTS FOR WATER (July 2014- June 2015)</t>
  </si>
  <si>
    <t>Exellent</t>
  </si>
  <si>
    <t>07/08/2014</t>
  </si>
  <si>
    <t>09/09/2014</t>
  </si>
  <si>
    <t>unacceptable</t>
  </si>
  <si>
    <t>09/10/2014</t>
  </si>
  <si>
    <t>11/12/2014</t>
  </si>
  <si>
    <t>08/11/2014</t>
  </si>
  <si>
    <t>7,4</t>
  </si>
  <si>
    <t>≥ 97%  Excellent, ≥ 95% Good, &lt; 95% Unacceptable</t>
  </si>
  <si>
    <r>
      <t>≥ 95%  Excellent, ≥</t>
    </r>
    <r>
      <rPr>
        <sz val="7.85"/>
        <color indexed="8"/>
        <rFont val="Calibri"/>
        <family val="2"/>
      </rPr>
      <t xml:space="preserve"> 93% Good, &lt;</t>
    </r>
    <r>
      <rPr>
        <sz val="7.7"/>
        <color indexed="8"/>
        <rFont val="Calibri"/>
        <family val="2"/>
      </rPr>
      <t xml:space="preserve"> 93% Unacceptable</t>
    </r>
  </si>
  <si>
    <t>12/01/2015</t>
  </si>
  <si>
    <t>13/02/2015</t>
  </si>
  <si>
    <t>0.379 00</t>
  </si>
  <si>
    <t>05/03/2015</t>
  </si>
  <si>
    <t>09/04/2015</t>
  </si>
  <si>
    <t xml:space="preserve"> Excellent</t>
  </si>
  <si>
    <t>06/05/2015</t>
  </si>
  <si>
    <t>04/06/2015</t>
  </si>
  <si>
    <t>Waste water</t>
  </si>
  <si>
    <t>COMPLIANCE SAMPLE RESULTS FOR WASTE WATER (July 2014- June 2015)</t>
  </si>
  <si>
    <t>2014 Green Drop Limits</t>
  </si>
  <si>
    <t>02/07/2014</t>
  </si>
  <si>
    <t>Laingsburg Waste water</t>
  </si>
  <si>
    <t>Matjiesfontein Wastewater</t>
  </si>
  <si>
    <t>&gt;10</t>
  </si>
  <si>
    <t>Matjiesfontein Package plant inlet</t>
  </si>
  <si>
    <t>Matjiesfontein Package plant outlet</t>
  </si>
  <si>
    <t>Laingsburg Waste water inlet</t>
  </si>
  <si>
    <t>Laingsburg Waste water outlet</t>
  </si>
  <si>
    <t>Lainsgburg Waste water inlet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</si>
</sst>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sz val="7.85"/>
      <color indexed="8"/>
      <name val="Calibri"/>
      <family val="2"/>
    </font>
    <font>
      <sz val="7.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006600"/>
      <name val="Arial"/>
      <family val="2"/>
    </font>
    <font>
      <b/>
      <sz val="8"/>
      <color rgb="FF0000FF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3" fontId="4" fillId="34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183" fontId="4" fillId="36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83" fontId="4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3" fontId="4" fillId="38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7" fillId="34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90"/>
    </xf>
    <xf numFmtId="0" fontId="57" fillId="39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83" fontId="57" fillId="40" borderId="10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40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83" fontId="57" fillId="41" borderId="10" xfId="0" applyNumberFormat="1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183" fontId="57" fillId="42" borderId="10" xfId="0" applyNumberFormat="1" applyFont="1" applyFill="1" applyBorder="1" applyAlignment="1">
      <alignment horizontal="center"/>
    </xf>
    <xf numFmtId="0" fontId="58" fillId="42" borderId="10" xfId="0" applyFont="1" applyFill="1" applyBorder="1" applyAlignment="1">
      <alignment horizontal="center"/>
    </xf>
    <xf numFmtId="0" fontId="57" fillId="30" borderId="10" xfId="0" applyFont="1" applyFill="1" applyBorder="1" applyAlignment="1">
      <alignment/>
    </xf>
    <xf numFmtId="0" fontId="59" fillId="30" borderId="10" xfId="0" applyFont="1" applyFill="1" applyBorder="1" applyAlignment="1">
      <alignment horizontal="center"/>
    </xf>
    <xf numFmtId="0" fontId="57" fillId="30" borderId="10" xfId="0" applyFont="1" applyFill="1" applyBorder="1" applyAlignment="1">
      <alignment horizontal="center"/>
    </xf>
    <xf numFmtId="183" fontId="57" fillId="3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60" fillId="0" borderId="11" xfId="0" applyFont="1" applyBorder="1" applyAlignment="1">
      <alignment horizontal="center" vertical="center" textRotation="90" wrapText="1"/>
    </xf>
    <xf numFmtId="0" fontId="57" fillId="37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40" borderId="10" xfId="0" applyFont="1" applyFill="1" applyBorder="1" applyAlignment="1">
      <alignment horizontal="center"/>
    </xf>
    <xf numFmtId="0" fontId="61" fillId="38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" fontId="0" fillId="0" borderId="10" xfId="0" applyNumberForma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  <xf numFmtId="0" fontId="4" fillId="37" borderId="15" xfId="0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6" borderId="13" xfId="0" applyFont="1" applyFill="1" applyBorder="1" applyAlignment="1">
      <alignment wrapText="1"/>
    </xf>
    <xf numFmtId="0" fontId="4" fillId="36" borderId="14" xfId="0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38" borderId="13" xfId="0" applyFont="1" applyFill="1" applyBorder="1" applyAlignment="1">
      <alignment wrapText="1"/>
    </xf>
    <xf numFmtId="0" fontId="4" fillId="38" borderId="14" xfId="0" applyFont="1" applyFill="1" applyBorder="1" applyAlignment="1">
      <alignment wrapText="1"/>
    </xf>
    <xf numFmtId="0" fontId="4" fillId="38" borderId="15" xfId="0" applyFont="1" applyFill="1" applyBorder="1" applyAlignment="1">
      <alignment wrapText="1"/>
    </xf>
    <xf numFmtId="0" fontId="57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"/>
  <sheetViews>
    <sheetView zoomScale="98" zoomScaleNormal="98" zoomScaleSheetLayoutView="100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8" sqref="J58"/>
    </sheetView>
  </sheetViews>
  <sheetFormatPr defaultColWidth="9.140625" defaultRowHeight="12.75"/>
  <cols>
    <col min="1" max="1" width="21.8515625" style="4" customWidth="1"/>
    <col min="2" max="2" width="8.421875" style="26" customWidth="1"/>
    <col min="3" max="3" width="15.8515625" style="4" customWidth="1"/>
    <col min="4" max="4" width="12.8515625" style="26" customWidth="1"/>
    <col min="5" max="5" width="7.00390625" style="26" customWidth="1"/>
    <col min="6" max="6" width="7.8515625" style="26" customWidth="1"/>
    <col min="7" max="7" width="7.421875" style="26" customWidth="1"/>
    <col min="8" max="8" width="11.57421875" style="26" customWidth="1"/>
    <col min="9" max="9" width="12.421875" style="26" customWidth="1"/>
    <col min="10" max="10" width="9.8515625" style="4" customWidth="1"/>
    <col min="11" max="11" width="6.421875" style="4" customWidth="1"/>
    <col min="12" max="12" width="5.7109375" style="4" customWidth="1"/>
    <col min="13" max="13" width="10.28125" style="4" customWidth="1"/>
    <col min="14" max="14" width="7.140625" style="4" customWidth="1"/>
    <col min="15" max="15" width="8.7109375" style="4" customWidth="1"/>
    <col min="16" max="16" width="10.00390625" style="4" customWidth="1"/>
    <col min="17" max="17" width="8.421875" style="4" customWidth="1"/>
    <col min="18" max="18" width="8.7109375" style="4" customWidth="1"/>
    <col min="19" max="19" width="8.28125" style="4" customWidth="1"/>
    <col min="20" max="20" width="8.00390625" style="4" customWidth="1"/>
    <col min="21" max="21" width="8.8515625" style="4" customWidth="1"/>
    <col min="22" max="22" width="7.57421875" style="4" customWidth="1"/>
    <col min="23" max="25" width="5.7109375" style="4" customWidth="1"/>
    <col min="26" max="26" width="8.140625" style="4" customWidth="1"/>
    <col min="27" max="27" width="7.28125" style="4" customWidth="1"/>
    <col min="28" max="28" width="6.421875" style="4" customWidth="1"/>
    <col min="29" max="29" width="7.7109375" style="4" customWidth="1"/>
    <col min="30" max="30" width="7.28125" style="4" customWidth="1"/>
    <col min="31" max="35" width="5.7109375" style="4" customWidth="1"/>
    <col min="36" max="36" width="8.140625" style="4" customWidth="1"/>
    <col min="37" max="37" width="5.7109375" style="4" customWidth="1"/>
    <col min="38" max="38" width="8.00390625" style="4" customWidth="1"/>
    <col min="39" max="41" width="5.7109375" style="4" customWidth="1"/>
    <col min="42" max="42" width="7.8515625" style="4" customWidth="1"/>
    <col min="43" max="45" width="5.7109375" style="4" customWidth="1"/>
    <col min="46" max="46" width="7.57421875" style="4" customWidth="1"/>
    <col min="47" max="16384" width="9.140625" style="4" customWidth="1"/>
  </cols>
  <sheetData>
    <row r="1" ht="15.75">
      <c r="A1" s="38" t="s">
        <v>146</v>
      </c>
    </row>
    <row r="2" spans="1:46" s="1" customFormat="1" ht="24.75" customHeight="1">
      <c r="A2" s="95" t="s">
        <v>106</v>
      </c>
      <c r="B2" s="95"/>
      <c r="C2" s="95"/>
      <c r="D2" s="43" t="s">
        <v>147</v>
      </c>
      <c r="E2" s="96" t="s">
        <v>13</v>
      </c>
      <c r="F2" s="97"/>
      <c r="G2" s="97"/>
      <c r="H2" s="97"/>
      <c r="I2" s="98"/>
      <c r="J2" s="92" t="s">
        <v>148</v>
      </c>
      <c r="K2" s="135" t="s">
        <v>128</v>
      </c>
      <c r="L2" s="136"/>
      <c r="M2" s="126" t="s">
        <v>129</v>
      </c>
      <c r="N2" s="126"/>
      <c r="O2" s="126" t="s">
        <v>131</v>
      </c>
      <c r="P2" s="126"/>
      <c r="Q2" s="126" t="s">
        <v>133</v>
      </c>
      <c r="R2" s="127"/>
      <c r="S2" s="128" t="s">
        <v>132</v>
      </c>
      <c r="T2" s="129"/>
      <c r="U2" s="129"/>
      <c r="V2" s="129"/>
      <c r="W2" s="126" t="s">
        <v>137</v>
      </c>
      <c r="X2" s="126"/>
      <c r="Y2" s="127"/>
      <c r="Z2" s="127"/>
      <c r="AA2" s="126" t="s">
        <v>138</v>
      </c>
      <c r="AB2" s="127"/>
      <c r="AC2" s="127"/>
      <c r="AD2" s="127"/>
      <c r="AE2" s="126" t="s">
        <v>140</v>
      </c>
      <c r="AF2" s="127"/>
      <c r="AG2" s="127"/>
      <c r="AH2" s="127"/>
      <c r="AI2" s="126" t="s">
        <v>141</v>
      </c>
      <c r="AJ2" s="127"/>
      <c r="AK2" s="127"/>
      <c r="AL2" s="127"/>
      <c r="AM2" s="126" t="s">
        <v>143</v>
      </c>
      <c r="AN2" s="127"/>
      <c r="AO2" s="127"/>
      <c r="AP2" s="127"/>
      <c r="AQ2" s="126" t="s">
        <v>144</v>
      </c>
      <c r="AR2" s="127"/>
      <c r="AS2" s="127"/>
      <c r="AT2" s="127"/>
    </row>
    <row r="3" spans="1:46" ht="96.75">
      <c r="A3" s="2" t="s">
        <v>15</v>
      </c>
      <c r="B3" s="2" t="s">
        <v>16</v>
      </c>
      <c r="C3" s="2" t="s">
        <v>17</v>
      </c>
      <c r="D3" s="43" t="s">
        <v>61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74" t="s">
        <v>145</v>
      </c>
      <c r="K3" s="74" t="s">
        <v>109</v>
      </c>
      <c r="L3" s="74" t="s">
        <v>107</v>
      </c>
      <c r="M3" s="74" t="s">
        <v>149</v>
      </c>
      <c r="N3" s="74" t="s">
        <v>150</v>
      </c>
      <c r="O3" s="74" t="s">
        <v>149</v>
      </c>
      <c r="P3" s="74" t="s">
        <v>150</v>
      </c>
      <c r="Q3" s="74" t="s">
        <v>149</v>
      </c>
      <c r="R3" s="74" t="s">
        <v>150</v>
      </c>
      <c r="S3" s="74" t="s">
        <v>154</v>
      </c>
      <c r="T3" s="74" t="s">
        <v>155</v>
      </c>
      <c r="U3" s="74" t="s">
        <v>152</v>
      </c>
      <c r="V3" s="74" t="s">
        <v>153</v>
      </c>
      <c r="W3" s="74" t="s">
        <v>156</v>
      </c>
      <c r="X3" s="74" t="s">
        <v>155</v>
      </c>
      <c r="Y3" s="74" t="s">
        <v>152</v>
      </c>
      <c r="Z3" s="74" t="s">
        <v>153</v>
      </c>
      <c r="AA3" s="74" t="s">
        <v>156</v>
      </c>
      <c r="AB3" s="74" t="s">
        <v>155</v>
      </c>
      <c r="AC3" s="74" t="s">
        <v>152</v>
      </c>
      <c r="AD3" s="74" t="s">
        <v>153</v>
      </c>
      <c r="AE3" s="74" t="s">
        <v>156</v>
      </c>
      <c r="AF3" s="74" t="s">
        <v>155</v>
      </c>
      <c r="AG3" s="74" t="s">
        <v>152</v>
      </c>
      <c r="AH3" s="74" t="s">
        <v>153</v>
      </c>
      <c r="AI3" s="74" t="s">
        <v>156</v>
      </c>
      <c r="AJ3" s="74" t="s">
        <v>155</v>
      </c>
      <c r="AK3" s="74" t="s">
        <v>152</v>
      </c>
      <c r="AL3" s="74" t="s">
        <v>153</v>
      </c>
      <c r="AM3" s="74" t="s">
        <v>156</v>
      </c>
      <c r="AN3" s="74" t="s">
        <v>155</v>
      </c>
      <c r="AO3" s="74" t="s">
        <v>152</v>
      </c>
      <c r="AP3" s="74" t="s">
        <v>153</v>
      </c>
      <c r="AQ3" s="74" t="s">
        <v>156</v>
      </c>
      <c r="AR3" s="74" t="s">
        <v>155</v>
      </c>
      <c r="AS3" s="74" t="s">
        <v>152</v>
      </c>
      <c r="AT3" s="74" t="s">
        <v>153</v>
      </c>
    </row>
    <row r="4" spans="1:46" ht="11.25">
      <c r="A4" s="5" t="s">
        <v>23</v>
      </c>
      <c r="B4" s="6" t="s">
        <v>24</v>
      </c>
      <c r="C4" s="7"/>
      <c r="D4" s="8" t="s">
        <v>26</v>
      </c>
      <c r="E4" s="8">
        <f>COUNTA(J4:AT4)</f>
        <v>29</v>
      </c>
      <c r="F4" s="33">
        <v>48</v>
      </c>
      <c r="G4" s="9">
        <f>F4/E4</f>
        <v>1.6551724137931034</v>
      </c>
      <c r="H4" s="40" t="s">
        <v>142</v>
      </c>
      <c r="I4" s="10">
        <f>+AVERAGE(J4:AT4)</f>
        <v>7.817931034482759</v>
      </c>
      <c r="J4" s="31">
        <v>8</v>
      </c>
      <c r="K4" s="31"/>
      <c r="L4" s="31"/>
      <c r="M4" s="31">
        <v>8</v>
      </c>
      <c r="N4" s="31">
        <v>7.5</v>
      </c>
      <c r="O4" s="31">
        <v>8</v>
      </c>
      <c r="P4" s="31">
        <v>7.2</v>
      </c>
      <c r="Q4" s="31"/>
      <c r="R4" s="31"/>
      <c r="S4" s="31">
        <v>7.54</v>
      </c>
      <c r="T4" s="31">
        <v>9.17</v>
      </c>
      <c r="U4" s="31">
        <v>7.34</v>
      </c>
      <c r="V4" s="31">
        <v>7.05</v>
      </c>
      <c r="W4" s="31">
        <v>8</v>
      </c>
      <c r="X4" s="31">
        <v>9</v>
      </c>
      <c r="Y4" s="31">
        <v>6.2</v>
      </c>
      <c r="Z4" s="31">
        <v>7.4</v>
      </c>
      <c r="AA4" s="31">
        <v>7.6</v>
      </c>
      <c r="AB4" s="31">
        <v>8.4</v>
      </c>
      <c r="AC4" s="31">
        <v>8.3</v>
      </c>
      <c r="AD4" s="31">
        <v>7.4</v>
      </c>
      <c r="AE4" s="31"/>
      <c r="AF4" s="31"/>
      <c r="AG4" s="31"/>
      <c r="AH4" s="31"/>
      <c r="AI4" s="31">
        <v>7.46</v>
      </c>
      <c r="AJ4" s="31">
        <v>8.21</v>
      </c>
      <c r="AK4" s="31">
        <v>7.49</v>
      </c>
      <c r="AL4" s="31">
        <v>7.88</v>
      </c>
      <c r="AM4" s="31">
        <v>7.7</v>
      </c>
      <c r="AN4" s="31">
        <v>8.5</v>
      </c>
      <c r="AO4" s="31">
        <v>8.1</v>
      </c>
      <c r="AP4" s="31">
        <v>8.1</v>
      </c>
      <c r="AQ4" s="31">
        <v>7.79</v>
      </c>
      <c r="AR4" s="31">
        <v>7.8</v>
      </c>
      <c r="AS4" s="31">
        <v>7.62</v>
      </c>
      <c r="AT4" s="31">
        <v>7.97</v>
      </c>
    </row>
    <row r="5" spans="1:46" ht="11.25">
      <c r="A5" s="66" t="s">
        <v>27</v>
      </c>
      <c r="B5" s="11" t="s">
        <v>28</v>
      </c>
      <c r="C5" s="12" t="s">
        <v>29</v>
      </c>
      <c r="D5" s="13" t="s">
        <v>30</v>
      </c>
      <c r="E5" s="13">
        <f>COUNTA(J5:AT5)</f>
        <v>29</v>
      </c>
      <c r="F5" s="41">
        <f>COUNTIF(J5:AT5,"&lt;=170")</f>
        <v>1</v>
      </c>
      <c r="G5" s="14">
        <f>F5/E5</f>
        <v>0.034482758620689655</v>
      </c>
      <c r="H5" s="41" t="s">
        <v>130</v>
      </c>
      <c r="I5" s="10">
        <f>+AVERAGE(J5:AT5)</f>
        <v>259.55172413793105</v>
      </c>
      <c r="J5" s="32">
        <v>193</v>
      </c>
      <c r="K5" s="32"/>
      <c r="L5" s="32"/>
      <c r="M5" s="32">
        <v>317</v>
      </c>
      <c r="N5" s="32">
        <v>270</v>
      </c>
      <c r="O5" s="32">
        <v>247</v>
      </c>
      <c r="P5" s="32">
        <v>189</v>
      </c>
      <c r="Q5" s="32"/>
      <c r="R5" s="32"/>
      <c r="S5" s="32">
        <v>323</v>
      </c>
      <c r="T5" s="32">
        <v>257</v>
      </c>
      <c r="U5" s="32">
        <v>280</v>
      </c>
      <c r="V5" s="32">
        <v>19</v>
      </c>
      <c r="W5" s="32">
        <v>213</v>
      </c>
      <c r="X5" s="32">
        <v>297</v>
      </c>
      <c r="Y5" s="32">
        <v>271</v>
      </c>
      <c r="Z5" s="32">
        <v>189</v>
      </c>
      <c r="AA5" s="32">
        <v>322</v>
      </c>
      <c r="AB5" s="32">
        <v>347</v>
      </c>
      <c r="AC5" s="32">
        <v>350</v>
      </c>
      <c r="AD5" s="32">
        <v>205</v>
      </c>
      <c r="AE5" s="32"/>
      <c r="AF5" s="32"/>
      <c r="AG5" s="32"/>
      <c r="AH5" s="32"/>
      <c r="AI5" s="32">
        <v>184</v>
      </c>
      <c r="AJ5" s="32">
        <v>334</v>
      </c>
      <c r="AK5" s="32">
        <v>231</v>
      </c>
      <c r="AL5" s="32">
        <v>200</v>
      </c>
      <c r="AM5" s="32">
        <v>686</v>
      </c>
      <c r="AN5" s="32">
        <v>312</v>
      </c>
      <c r="AO5" s="32">
        <v>226</v>
      </c>
      <c r="AP5" s="32">
        <v>212</v>
      </c>
      <c r="AQ5" s="32">
        <v>182</v>
      </c>
      <c r="AR5" s="32">
        <v>265</v>
      </c>
      <c r="AS5" s="32">
        <v>193</v>
      </c>
      <c r="AT5" s="32">
        <v>213</v>
      </c>
    </row>
    <row r="6" spans="1:46" ht="11.25">
      <c r="A6" s="72" t="s">
        <v>54</v>
      </c>
      <c r="B6" s="30"/>
      <c r="C6" s="5"/>
      <c r="D6" s="6" t="s">
        <v>12</v>
      </c>
      <c r="E6" s="6"/>
      <c r="F6" s="70"/>
      <c r="G6" s="17"/>
      <c r="H6" s="70"/>
      <c r="I6" s="1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11.25" customHeight="1">
      <c r="A7" s="99" t="s">
        <v>31</v>
      </c>
      <c r="B7" s="100" t="s">
        <v>32</v>
      </c>
      <c r="C7" s="7" t="s">
        <v>25</v>
      </c>
      <c r="D7" s="8" t="s">
        <v>33</v>
      </c>
      <c r="E7" s="8">
        <f>COUNTA(J7:AT7)</f>
        <v>3</v>
      </c>
      <c r="F7" s="8">
        <f>COUNTIF(J7:AT7,"&lt;=1")</f>
        <v>1</v>
      </c>
      <c r="G7" s="9">
        <f aca="true" t="shared" si="0" ref="G7:G49">F7/E7</f>
        <v>0.3333333333333333</v>
      </c>
      <c r="H7" s="78" t="s">
        <v>130</v>
      </c>
      <c r="I7" s="101" t="s">
        <v>139</v>
      </c>
      <c r="J7" s="87">
        <v>29.17</v>
      </c>
      <c r="K7" s="87"/>
      <c r="L7" s="87"/>
      <c r="M7" s="87">
        <v>27.98</v>
      </c>
      <c r="N7" s="87">
        <v>0.23</v>
      </c>
      <c r="O7" s="87"/>
      <c r="P7" s="87"/>
      <c r="Q7" s="87"/>
      <c r="R7" s="87"/>
      <c r="S7" s="87"/>
      <c r="T7" s="87"/>
      <c r="U7" s="87"/>
      <c r="V7" s="87"/>
      <c r="W7" s="87"/>
      <c r="X7" s="8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46" ht="11.25" customHeight="1">
      <c r="A8" s="99"/>
      <c r="B8" s="100"/>
      <c r="C8" s="12" t="s">
        <v>29</v>
      </c>
      <c r="D8" s="44" t="s">
        <v>62</v>
      </c>
      <c r="E8" s="13">
        <f>COUNTA(J8:AT8)</f>
        <v>3</v>
      </c>
      <c r="F8" s="13">
        <f>COUNTIF(J8:AT8,"&lt;=5")</f>
        <v>1</v>
      </c>
      <c r="G8" s="14">
        <f t="shared" si="0"/>
        <v>0.3333333333333333</v>
      </c>
      <c r="H8" s="41" t="s">
        <v>127</v>
      </c>
      <c r="I8" s="102"/>
      <c r="J8" s="89">
        <v>29.17</v>
      </c>
      <c r="K8" s="89"/>
      <c r="L8" s="89"/>
      <c r="M8" s="89">
        <v>27.98</v>
      </c>
      <c r="N8" s="88">
        <v>0.23</v>
      </c>
      <c r="O8" s="89"/>
      <c r="P8" s="88"/>
      <c r="Q8" s="89"/>
      <c r="R8" s="89"/>
      <c r="S8" s="89"/>
      <c r="T8" s="89"/>
      <c r="U8" s="89"/>
      <c r="V8" s="89"/>
      <c r="W8" s="89"/>
      <c r="X8" s="90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</row>
    <row r="9" spans="1:46" ht="11.25" customHeight="1">
      <c r="A9" s="16" t="s">
        <v>34</v>
      </c>
      <c r="B9" s="11" t="s">
        <v>35</v>
      </c>
      <c r="C9" s="12" t="s">
        <v>29</v>
      </c>
      <c r="D9" s="35" t="s">
        <v>67</v>
      </c>
      <c r="E9" s="13">
        <v>3</v>
      </c>
      <c r="F9" s="13">
        <v>3</v>
      </c>
      <c r="G9" s="14">
        <f t="shared" si="0"/>
        <v>1</v>
      </c>
      <c r="H9" s="41" t="s">
        <v>127</v>
      </c>
      <c r="I9" s="10">
        <v>0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ht="11.25" customHeight="1">
      <c r="A10" s="67" t="s">
        <v>103</v>
      </c>
      <c r="B10" s="11"/>
      <c r="C10" s="5"/>
      <c r="D10" s="6" t="s">
        <v>12</v>
      </c>
      <c r="E10" s="6">
        <v>0</v>
      </c>
      <c r="F10" s="70"/>
      <c r="G10" s="17" t="e">
        <f t="shared" si="0"/>
        <v>#DIV/0!</v>
      </c>
      <c r="H10" s="70"/>
      <c r="I10" s="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ht="11.25" customHeight="1">
      <c r="A11" s="67" t="s">
        <v>104</v>
      </c>
      <c r="B11" s="11"/>
      <c r="C11" s="16"/>
      <c r="D11" s="6" t="s">
        <v>12</v>
      </c>
      <c r="E11" s="6">
        <f>COUNTA(J11:AT11)</f>
        <v>0</v>
      </c>
      <c r="F11" s="70"/>
      <c r="G11" s="17" t="e">
        <f t="shared" si="0"/>
        <v>#DIV/0!</v>
      </c>
      <c r="H11" s="70"/>
      <c r="I11" s="1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ht="11.25">
      <c r="A12" s="16" t="s">
        <v>36</v>
      </c>
      <c r="B12" s="11"/>
      <c r="C12" s="16"/>
      <c r="D12" s="6" t="s">
        <v>12</v>
      </c>
      <c r="E12" s="6">
        <f>COUNTA(J12:AT12)</f>
        <v>0</v>
      </c>
      <c r="F12" s="6"/>
      <c r="G12" s="17" t="e">
        <f t="shared" si="0"/>
        <v>#DIV/0!</v>
      </c>
      <c r="H12" s="70"/>
      <c r="I12" s="10"/>
      <c r="J12" s="3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31"/>
      <c r="AT12" s="31"/>
    </row>
    <row r="13" spans="1:46" ht="11.25">
      <c r="A13" s="16" t="s">
        <v>37</v>
      </c>
      <c r="B13" s="11"/>
      <c r="C13" s="16"/>
      <c r="D13" s="6" t="s">
        <v>12</v>
      </c>
      <c r="E13" s="6">
        <f>COUNTA(J13:AT13)</f>
        <v>0</v>
      </c>
      <c r="F13" s="6"/>
      <c r="G13" s="17" t="e">
        <f t="shared" si="0"/>
        <v>#DIV/0!</v>
      </c>
      <c r="H13" s="70"/>
      <c r="I13" s="1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15"/>
      <c r="AT13" s="15"/>
    </row>
    <row r="14" spans="1:46" ht="11.25">
      <c r="A14" s="16" t="s">
        <v>0</v>
      </c>
      <c r="B14" s="11" t="s">
        <v>38</v>
      </c>
      <c r="C14" s="12" t="s">
        <v>39</v>
      </c>
      <c r="D14" s="45" t="s">
        <v>63</v>
      </c>
      <c r="E14" s="13">
        <f>COUNTA(J14:AT14)</f>
        <v>0</v>
      </c>
      <c r="F14" s="18">
        <f>COUNTIF(J14:AT14,"&lt;=150")</f>
        <v>0</v>
      </c>
      <c r="G14" s="84" t="e">
        <f t="shared" si="0"/>
        <v>#DIV/0!</v>
      </c>
      <c r="H14" s="41" t="s">
        <v>127</v>
      </c>
      <c r="I14" s="10" t="e">
        <f>+AVERAGE(J14:AT14)</f>
        <v>#DIV/0!</v>
      </c>
      <c r="J14" s="3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31"/>
      <c r="AT14" s="31"/>
    </row>
    <row r="15" spans="1:46" ht="11.25">
      <c r="A15" s="73" t="s">
        <v>105</v>
      </c>
      <c r="B15" s="11"/>
      <c r="C15" s="16"/>
      <c r="D15" s="6" t="s">
        <v>12</v>
      </c>
      <c r="E15" s="6">
        <f>COUNTA(J15:AT15)</f>
        <v>0</v>
      </c>
      <c r="F15" s="6"/>
      <c r="G15" s="17" t="e">
        <f t="shared" si="0"/>
        <v>#DIV/0!</v>
      </c>
      <c r="H15" s="70"/>
      <c r="I15" s="1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15"/>
      <c r="AT15" s="15"/>
    </row>
    <row r="16" spans="1:46" ht="11.25">
      <c r="A16" s="16" t="s">
        <v>1</v>
      </c>
      <c r="B16" s="11" t="s">
        <v>38</v>
      </c>
      <c r="C16" s="12" t="s">
        <v>40</v>
      </c>
      <c r="D16" s="46" t="s">
        <v>64</v>
      </c>
      <c r="E16" s="35">
        <f>COUNTA(J16:AT16)</f>
        <v>0</v>
      </c>
      <c r="F16" s="18">
        <f>COUNTIF(J16:AT16,"&lt;=70")</f>
        <v>0</v>
      </c>
      <c r="G16" s="14" t="e">
        <f t="shared" si="0"/>
        <v>#DIV/0!</v>
      </c>
      <c r="H16" s="41" t="s">
        <v>127</v>
      </c>
      <c r="I16" s="10" t="e">
        <f>+AVERAGE(J16:AT16)</f>
        <v>#DIV/0!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ht="11.25">
      <c r="A17" s="67" t="s">
        <v>6</v>
      </c>
      <c r="B17" s="11" t="s">
        <v>38</v>
      </c>
      <c r="C17" s="19" t="s">
        <v>43</v>
      </c>
      <c r="D17" s="20" t="s">
        <v>44</v>
      </c>
      <c r="E17" s="20">
        <f>COUNTA(J17:AT17)</f>
        <v>2</v>
      </c>
      <c r="F17" s="71">
        <f>COUNTIF(J17:AT17,"&lt;=1,5")</f>
        <v>2</v>
      </c>
      <c r="G17" s="21">
        <f t="shared" si="0"/>
        <v>1</v>
      </c>
      <c r="H17" s="71" t="s">
        <v>127</v>
      </c>
      <c r="I17" s="10">
        <f>+AVERAGE(J17:AT17)</f>
        <v>1.085</v>
      </c>
      <c r="J17" s="31"/>
      <c r="K17" s="32"/>
      <c r="L17" s="32"/>
      <c r="M17" s="32">
        <v>0.77</v>
      </c>
      <c r="N17" s="32">
        <v>1.4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ht="11.25">
      <c r="A18" s="67" t="s">
        <v>7</v>
      </c>
      <c r="B18" s="11" t="s">
        <v>38</v>
      </c>
      <c r="C18" s="12" t="s">
        <v>29</v>
      </c>
      <c r="D18" s="13" t="s">
        <v>46</v>
      </c>
      <c r="E18" s="13">
        <f>COUNTA(J18:AT18)</f>
        <v>4</v>
      </c>
      <c r="F18" s="41">
        <f>COUNTIF(J18:AT18,"&lt;=1200")</f>
        <v>0</v>
      </c>
      <c r="G18" s="14">
        <f t="shared" si="0"/>
        <v>0</v>
      </c>
      <c r="H18" s="41"/>
      <c r="I18" s="10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>
        <v>1932</v>
      </c>
      <c r="AB18" s="32">
        <v>2070</v>
      </c>
      <c r="AC18" s="32">
        <v>2100</v>
      </c>
      <c r="AD18" s="32">
        <v>1229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ht="11.25">
      <c r="A19" s="16" t="s">
        <v>55</v>
      </c>
      <c r="B19" s="11"/>
      <c r="C19" s="37" t="s">
        <v>43</v>
      </c>
      <c r="D19" s="36" t="s">
        <v>68</v>
      </c>
      <c r="E19" s="20">
        <f>COUNTA(J19:AT19)</f>
        <v>2</v>
      </c>
      <c r="F19" s="20">
        <f>COUNTIF(J19:AT19,"&lt;=0,5")</f>
        <v>2</v>
      </c>
      <c r="G19" s="21">
        <f t="shared" si="0"/>
        <v>1</v>
      </c>
      <c r="H19" s="71" t="s">
        <v>125</v>
      </c>
      <c r="I19" s="10">
        <f>+AVERAGE(J19:AT19)</f>
        <v>0.295</v>
      </c>
      <c r="J19" s="31"/>
      <c r="K19" s="32"/>
      <c r="L19" s="32"/>
      <c r="M19" s="32">
        <v>0.41</v>
      </c>
      <c r="N19" s="32">
        <v>0.18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ht="11.25" customHeight="1">
      <c r="A20" s="111" t="s">
        <v>9</v>
      </c>
      <c r="B20" s="110" t="s">
        <v>47</v>
      </c>
      <c r="C20" s="19" t="s">
        <v>43</v>
      </c>
      <c r="D20" s="47" t="s">
        <v>65</v>
      </c>
      <c r="E20" s="20">
        <f>COUNTA(J20:AT20)</f>
        <v>2</v>
      </c>
      <c r="F20" s="20">
        <f>COUNTIF(J20:AT20,"&lt;=2000")</f>
        <v>2</v>
      </c>
      <c r="G20" s="21">
        <f t="shared" si="0"/>
        <v>1</v>
      </c>
      <c r="H20" s="71" t="s">
        <v>127</v>
      </c>
      <c r="I20" s="103">
        <v>20.94</v>
      </c>
      <c r="J20" s="87"/>
      <c r="K20" s="87"/>
      <c r="L20" s="87"/>
      <c r="M20" s="87">
        <v>0.08</v>
      </c>
      <c r="N20" s="87">
        <v>0.07</v>
      </c>
      <c r="O20" s="87"/>
      <c r="P20" s="87"/>
      <c r="Q20" s="87"/>
      <c r="R20" s="87"/>
      <c r="S20" s="87"/>
      <c r="T20" s="87"/>
      <c r="U20" s="87"/>
      <c r="V20" s="87"/>
      <c r="W20" s="87"/>
      <c r="X20" s="86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</row>
    <row r="21" spans="1:46" ht="11.25" customHeight="1">
      <c r="A21" s="111"/>
      <c r="B21" s="110"/>
      <c r="C21" s="12" t="s">
        <v>29</v>
      </c>
      <c r="D21" s="13" t="s">
        <v>42</v>
      </c>
      <c r="E21" s="13">
        <f>COUNTA(J21:AT21)</f>
        <v>2</v>
      </c>
      <c r="F21" s="13">
        <f>COUNTIF(J20:AT20,"&lt;=300")</f>
        <v>2</v>
      </c>
      <c r="G21" s="14">
        <f t="shared" si="0"/>
        <v>1</v>
      </c>
      <c r="H21" s="41" t="s">
        <v>127</v>
      </c>
      <c r="I21" s="94"/>
      <c r="J21" s="89"/>
      <c r="K21" s="89"/>
      <c r="L21" s="89"/>
      <c r="M21" s="89">
        <v>0.08</v>
      </c>
      <c r="N21" s="88">
        <v>0.07</v>
      </c>
      <c r="O21" s="89"/>
      <c r="P21" s="88"/>
      <c r="Q21" s="89"/>
      <c r="R21" s="89"/>
      <c r="S21" s="89"/>
      <c r="T21" s="89"/>
      <c r="U21" s="89"/>
      <c r="V21" s="89"/>
      <c r="W21" s="89"/>
      <c r="X21" s="90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</row>
    <row r="22" spans="1:46" ht="11.25" customHeight="1">
      <c r="A22" s="109" t="s">
        <v>10</v>
      </c>
      <c r="B22" s="110" t="s">
        <v>47</v>
      </c>
      <c r="C22" s="19" t="s">
        <v>43</v>
      </c>
      <c r="D22" s="47" t="s">
        <v>66</v>
      </c>
      <c r="E22" s="20">
        <f>COUNTA(J22:AT22)</f>
        <v>2</v>
      </c>
      <c r="F22" s="20">
        <f>COUNTIF(J22:AT22,"&lt;=500")</f>
        <v>2</v>
      </c>
      <c r="G22" s="21">
        <f t="shared" si="0"/>
        <v>1</v>
      </c>
      <c r="H22" s="71" t="s">
        <v>127</v>
      </c>
      <c r="I22" s="103">
        <v>0</v>
      </c>
      <c r="J22" s="87"/>
      <c r="K22" s="87"/>
      <c r="L22" s="87"/>
      <c r="M22" s="87">
        <v>0.079</v>
      </c>
      <c r="N22" s="87">
        <v>0.031</v>
      </c>
      <c r="O22" s="87"/>
      <c r="P22" s="87"/>
      <c r="Q22" s="87"/>
      <c r="R22" s="87"/>
      <c r="S22" s="87"/>
      <c r="T22" s="87"/>
      <c r="U22" s="87"/>
      <c r="V22" s="87"/>
      <c r="W22" s="87"/>
      <c r="X22" s="86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</row>
    <row r="23" spans="1:46" ht="11.25" customHeight="1">
      <c r="A23" s="109"/>
      <c r="B23" s="110"/>
      <c r="C23" s="12" t="s">
        <v>29</v>
      </c>
      <c r="D23" s="35" t="s">
        <v>69</v>
      </c>
      <c r="E23" s="13">
        <f>COUNTA(J23:AT23)</f>
        <v>2</v>
      </c>
      <c r="F23" s="13">
        <f>COUNTIF(J23:AT23,"&lt;100")</f>
        <v>2</v>
      </c>
      <c r="G23" s="14">
        <f t="shared" si="0"/>
        <v>1</v>
      </c>
      <c r="H23" s="41" t="s">
        <v>127</v>
      </c>
      <c r="I23" s="94"/>
      <c r="J23" s="89"/>
      <c r="K23" s="89"/>
      <c r="L23" s="89"/>
      <c r="M23" s="89">
        <v>0.079</v>
      </c>
      <c r="N23" s="88">
        <v>0.031</v>
      </c>
      <c r="O23" s="89"/>
      <c r="P23" s="88"/>
      <c r="Q23" s="89"/>
      <c r="R23" s="89"/>
      <c r="S23" s="89"/>
      <c r="T23" s="89"/>
      <c r="U23" s="89"/>
      <c r="V23" s="89"/>
      <c r="W23" s="89"/>
      <c r="X23" s="90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</row>
    <row r="24" spans="1:46" ht="11.25">
      <c r="A24" s="16" t="s">
        <v>11</v>
      </c>
      <c r="B24" s="11" t="s">
        <v>47</v>
      </c>
      <c r="C24" s="7" t="s">
        <v>25</v>
      </c>
      <c r="D24" s="8" t="s">
        <v>42</v>
      </c>
      <c r="E24" s="8">
        <f>COUNTA(J24:AT24)</f>
        <v>2</v>
      </c>
      <c r="F24" s="8">
        <f>COUNTIF(J24:AT24,"&lt;=300")</f>
        <v>2</v>
      </c>
      <c r="G24" s="9">
        <f t="shared" si="0"/>
        <v>1</v>
      </c>
      <c r="H24" s="40" t="s">
        <v>127</v>
      </c>
      <c r="I24" s="10">
        <f>+AVERAGE(J24:AT24)</f>
        <v>0.007</v>
      </c>
      <c r="J24" s="31"/>
      <c r="K24" s="31"/>
      <c r="L24" s="31"/>
      <c r="M24" s="31">
        <v>0.007</v>
      </c>
      <c r="N24" s="31">
        <v>0.007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1:46" ht="11.25" customHeight="1">
      <c r="A25" s="39" t="s">
        <v>59</v>
      </c>
      <c r="B25" s="11" t="s">
        <v>48</v>
      </c>
      <c r="C25" s="22" t="s">
        <v>45</v>
      </c>
      <c r="D25" s="25" t="s">
        <v>50</v>
      </c>
      <c r="E25" s="23">
        <f>COUNTA(J25:AT25)</f>
        <v>9</v>
      </c>
      <c r="F25" s="23">
        <f>COUNTIF(J25:AT25,"&lt;=0")</f>
        <v>4</v>
      </c>
      <c r="G25" s="24">
        <f t="shared" si="0"/>
        <v>0.4444444444444444</v>
      </c>
      <c r="H25" s="79" t="s">
        <v>127</v>
      </c>
      <c r="I25" s="10">
        <f>+AVERAGE(J25:AT25)</f>
        <v>93733.33333333333</v>
      </c>
      <c r="J25" s="31">
        <v>0</v>
      </c>
      <c r="K25" s="31"/>
      <c r="L25" s="31"/>
      <c r="M25" s="31">
        <v>0</v>
      </c>
      <c r="N25" s="31">
        <v>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>
        <v>648800</v>
      </c>
      <c r="AK25" s="31"/>
      <c r="AL25" s="31">
        <v>99000</v>
      </c>
      <c r="AM25" s="31"/>
      <c r="AN25" s="31">
        <v>10</v>
      </c>
      <c r="AO25" s="31"/>
      <c r="AP25" s="31">
        <v>88200</v>
      </c>
      <c r="AQ25" s="31"/>
      <c r="AR25" s="31">
        <v>0</v>
      </c>
      <c r="AS25" s="31"/>
      <c r="AT25" s="31">
        <v>7590</v>
      </c>
    </row>
    <row r="26" spans="1:46" ht="11.25">
      <c r="A26" s="39" t="s">
        <v>57</v>
      </c>
      <c r="B26" s="11" t="s">
        <v>48</v>
      </c>
      <c r="C26" s="7" t="s">
        <v>25</v>
      </c>
      <c r="D26" s="8" t="s">
        <v>49</v>
      </c>
      <c r="E26" s="8">
        <f>COUNTA(J26:AT26)</f>
        <v>3</v>
      </c>
      <c r="F26" s="8">
        <f>COUNTIF(J26:AT26,"&lt;=10")</f>
        <v>0</v>
      </c>
      <c r="G26" s="9">
        <f t="shared" si="0"/>
        <v>0</v>
      </c>
      <c r="H26" s="78" t="s">
        <v>125</v>
      </c>
      <c r="I26" s="10">
        <f>+AVERAGE(J26:AT26)</f>
        <v>1011463.3333333334</v>
      </c>
      <c r="J26" s="31">
        <v>1986300</v>
      </c>
      <c r="K26" s="31"/>
      <c r="L26" s="31"/>
      <c r="M26" s="31">
        <v>1046200</v>
      </c>
      <c r="N26" s="31">
        <v>1890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ht="11.25" customHeight="1">
      <c r="A27" s="39" t="s">
        <v>58</v>
      </c>
      <c r="B27" s="11" t="s">
        <v>56</v>
      </c>
      <c r="C27" s="7" t="s">
        <v>25</v>
      </c>
      <c r="D27" s="40" t="s">
        <v>70</v>
      </c>
      <c r="E27" s="8"/>
      <c r="F27" s="8"/>
      <c r="G27" s="9" t="e">
        <f t="shared" si="0"/>
        <v>#DIV/0!</v>
      </c>
      <c r="H27" s="40"/>
      <c r="I27" s="10" t="e">
        <f>+AVERAGE(J27:AT27)</f>
        <v>#DIV/0!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ht="11.25">
      <c r="A28" s="67" t="s">
        <v>73</v>
      </c>
      <c r="B28" s="11" t="s">
        <v>38</v>
      </c>
      <c r="C28" s="19" t="s">
        <v>43</v>
      </c>
      <c r="D28" s="47" t="s">
        <v>62</v>
      </c>
      <c r="E28" s="20">
        <f>COUNTA(J28:AT28)</f>
        <v>0</v>
      </c>
      <c r="F28" s="71">
        <f>COUNTIF(J28:AT28,"&lt;=5")</f>
        <v>0</v>
      </c>
      <c r="G28" s="21" t="e">
        <f t="shared" si="0"/>
        <v>#DIV/0!</v>
      </c>
      <c r="H28" s="71" t="s">
        <v>127</v>
      </c>
      <c r="I28" s="10" t="e">
        <f>+AVERAGE(J28:AT28)</f>
        <v>#DIV/0!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1.25">
      <c r="A29" s="67" t="s">
        <v>74</v>
      </c>
      <c r="B29" s="48" t="s">
        <v>38</v>
      </c>
      <c r="C29" s="49" t="s">
        <v>43</v>
      </c>
      <c r="D29" s="50" t="s">
        <v>72</v>
      </c>
      <c r="E29" s="50">
        <f>COUNTA(J29:AT29)</f>
        <v>9</v>
      </c>
      <c r="F29" s="50">
        <f>COUNTIF(J29:AT29,"&lt;10")</f>
        <v>0</v>
      </c>
      <c r="G29" s="51">
        <f t="shared" si="0"/>
        <v>0</v>
      </c>
      <c r="H29" s="80" t="s">
        <v>130</v>
      </c>
      <c r="I29" s="10">
        <f>+AVERAGE(J29:AT29)</f>
        <v>166.72222222222223</v>
      </c>
      <c r="J29" s="11">
        <v>66.6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76.3</v>
      </c>
      <c r="X29" s="11">
        <v>62.2</v>
      </c>
      <c r="Y29" s="11">
        <v>76.5</v>
      </c>
      <c r="Z29" s="11">
        <v>19.6</v>
      </c>
      <c r="AA29" s="11">
        <v>566.5</v>
      </c>
      <c r="AB29" s="11">
        <v>79.3</v>
      </c>
      <c r="AC29" s="11">
        <v>531.5</v>
      </c>
      <c r="AD29" s="11">
        <v>22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1.25">
      <c r="A30" s="67" t="s">
        <v>2</v>
      </c>
      <c r="B30" s="48" t="s">
        <v>38</v>
      </c>
      <c r="C30" s="58" t="s">
        <v>29</v>
      </c>
      <c r="D30" s="59" t="s">
        <v>75</v>
      </c>
      <c r="E30" s="59">
        <f>COUNTA(J30:AT30)</f>
        <v>2</v>
      </c>
      <c r="F30" s="59">
        <f>COUNTIF(J30:AT30,"&lt;=200")</f>
        <v>1</v>
      </c>
      <c r="G30" s="60">
        <f t="shared" si="0"/>
        <v>0.5</v>
      </c>
      <c r="H30" s="59" t="s">
        <v>127</v>
      </c>
      <c r="I30" s="10">
        <f>+AVERAGE(J30:AT30)</f>
        <v>248.35</v>
      </c>
      <c r="J30" s="11"/>
      <c r="K30" s="11"/>
      <c r="L30" s="11"/>
      <c r="M30" s="11">
        <v>300.9</v>
      </c>
      <c r="N30" s="11">
        <v>195.8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1.25">
      <c r="A31" s="67" t="s">
        <v>3</v>
      </c>
      <c r="B31" s="48" t="s">
        <v>38</v>
      </c>
      <c r="C31" s="62" t="s">
        <v>41</v>
      </c>
      <c r="D31" s="63" t="s">
        <v>76</v>
      </c>
      <c r="E31" s="64">
        <f>COUNTA(J31:AT31)</f>
        <v>0</v>
      </c>
      <c r="F31" s="64">
        <f>COUNTIF(J31:AT31,"&lt;=50")</f>
        <v>0</v>
      </c>
      <c r="G31" s="65" t="e">
        <f t="shared" si="0"/>
        <v>#DIV/0!</v>
      </c>
      <c r="H31" s="64" t="s">
        <v>127</v>
      </c>
      <c r="I31" s="10" t="e">
        <f>+AVERAGE(J31:AT31)</f>
        <v>#DIV/0!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1.25">
      <c r="A32" s="67" t="s">
        <v>4</v>
      </c>
      <c r="B32" s="48" t="s">
        <v>38</v>
      </c>
      <c r="C32" s="58" t="s">
        <v>29</v>
      </c>
      <c r="D32" s="61" t="s">
        <v>62</v>
      </c>
      <c r="E32" s="59">
        <f>COUNTA(J32:AT32)</f>
        <v>2</v>
      </c>
      <c r="F32" s="59">
        <f>COUNTIF(J32:AT32,"&lt;=5")</f>
        <v>2</v>
      </c>
      <c r="G32" s="60">
        <f t="shared" si="0"/>
        <v>1</v>
      </c>
      <c r="H32" s="59" t="s">
        <v>127</v>
      </c>
      <c r="I32" s="10">
        <f>+AVERAGE(J32:AT32)</f>
        <v>0.017</v>
      </c>
      <c r="J32" s="11"/>
      <c r="K32" s="11"/>
      <c r="L32" s="11"/>
      <c r="M32" s="11">
        <v>0.011</v>
      </c>
      <c r="N32" s="11">
        <v>0.023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1.25">
      <c r="A33" s="67" t="s">
        <v>5</v>
      </c>
      <c r="B33" s="48" t="s">
        <v>38</v>
      </c>
      <c r="C33" s="58" t="s">
        <v>29</v>
      </c>
      <c r="D33" s="59" t="s">
        <v>77</v>
      </c>
      <c r="E33" s="59">
        <f>COUNTA(J33:AT33)</f>
        <v>2</v>
      </c>
      <c r="F33" s="59">
        <f>COUNTIF(J33:AT33,"&lt;=300")</f>
        <v>1</v>
      </c>
      <c r="G33" s="60">
        <f t="shared" si="0"/>
        <v>0.5</v>
      </c>
      <c r="H33" s="59" t="s">
        <v>127</v>
      </c>
      <c r="I33" s="10">
        <f>+AVERAGE(J33:AT33)</f>
        <v>357.585</v>
      </c>
      <c r="J33" s="11"/>
      <c r="K33" s="11"/>
      <c r="L33" s="11"/>
      <c r="M33" s="11">
        <v>415.39</v>
      </c>
      <c r="N33" s="11">
        <v>299.78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1.25">
      <c r="A34" s="124" t="s">
        <v>102</v>
      </c>
      <c r="B34" s="93" t="s">
        <v>38</v>
      </c>
      <c r="C34" s="55" t="s">
        <v>45</v>
      </c>
      <c r="D34" s="56" t="s">
        <v>78</v>
      </c>
      <c r="E34" s="56">
        <f>COUNTA(J34:AT34)</f>
        <v>2</v>
      </c>
      <c r="F34" s="56">
        <f>COUNTIF(J34:AT34,"&lt;=500")</f>
        <v>2</v>
      </c>
      <c r="G34" s="57">
        <f t="shared" si="0"/>
        <v>1</v>
      </c>
      <c r="H34" s="56" t="s">
        <v>127</v>
      </c>
      <c r="I34" s="104">
        <v>118.08</v>
      </c>
      <c r="J34" s="91"/>
      <c r="K34" s="91"/>
      <c r="L34" s="91"/>
      <c r="M34" s="91">
        <v>109.35</v>
      </c>
      <c r="N34" s="91">
        <v>125.17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</row>
    <row r="35" spans="1:46" ht="12.75" customHeight="1">
      <c r="A35" s="125"/>
      <c r="B35" s="94"/>
      <c r="C35" s="58" t="s">
        <v>29</v>
      </c>
      <c r="D35" s="61" t="s">
        <v>71</v>
      </c>
      <c r="E35" s="59">
        <f>COUNTA(J35:AT35)</f>
        <v>2</v>
      </c>
      <c r="F35" s="59">
        <f>COUNTIF(J35:AT35,"&lt;=250")</f>
        <v>2</v>
      </c>
      <c r="G35" s="60">
        <f t="shared" si="0"/>
        <v>1</v>
      </c>
      <c r="H35" s="59" t="s">
        <v>127</v>
      </c>
      <c r="I35" s="105"/>
      <c r="J35" s="91"/>
      <c r="K35" s="91"/>
      <c r="L35" s="91"/>
      <c r="M35" s="91">
        <v>109.35</v>
      </c>
      <c r="N35" s="91">
        <v>125.17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</row>
    <row r="36" spans="1:46" ht="11.25">
      <c r="A36" s="67" t="s">
        <v>8</v>
      </c>
      <c r="B36" s="48" t="s">
        <v>38</v>
      </c>
      <c r="C36" s="58" t="s">
        <v>29</v>
      </c>
      <c r="D36" s="59" t="s">
        <v>79</v>
      </c>
      <c r="E36" s="59">
        <f>COUNTA(J36:AT36)</f>
        <v>2</v>
      </c>
      <c r="F36" s="59">
        <f>COUNTIF(J36:AT36,"&lt;=1,5")</f>
        <v>1</v>
      </c>
      <c r="G36" s="60">
        <f t="shared" si="0"/>
        <v>0.5</v>
      </c>
      <c r="H36" s="59" t="s">
        <v>127</v>
      </c>
      <c r="I36" s="10"/>
      <c r="J36" s="11"/>
      <c r="K36" s="11"/>
      <c r="L36" s="11"/>
      <c r="M36" s="83" t="s">
        <v>151</v>
      </c>
      <c r="N36" s="11">
        <v>0.669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1.25">
      <c r="A37" s="68" t="s">
        <v>122</v>
      </c>
      <c r="B37" s="48" t="s">
        <v>80</v>
      </c>
      <c r="C37" s="55" t="s">
        <v>45</v>
      </c>
      <c r="D37" s="56" t="s">
        <v>121</v>
      </c>
      <c r="E37" s="56">
        <f>COUNTA(J37:AT37)</f>
        <v>21</v>
      </c>
      <c r="F37" s="56">
        <f>COUNTIF(J37:AT37,"&lt;=11")</f>
        <v>13</v>
      </c>
      <c r="G37" s="57">
        <f t="shared" si="0"/>
        <v>0.6190476190476191</v>
      </c>
      <c r="H37" s="56" t="s">
        <v>127</v>
      </c>
      <c r="I37" s="10">
        <f>+AVERAGE(J37:AT37)</f>
        <v>1.048</v>
      </c>
      <c r="J37" s="11">
        <v>10.18</v>
      </c>
      <c r="K37" s="11"/>
      <c r="L37" s="11"/>
      <c r="M37" s="83" t="s">
        <v>151</v>
      </c>
      <c r="N37" s="83" t="s">
        <v>151</v>
      </c>
      <c r="O37" s="83" t="s">
        <v>151</v>
      </c>
      <c r="P37" s="83" t="s">
        <v>151</v>
      </c>
      <c r="Q37" s="11"/>
      <c r="R37" s="11"/>
      <c r="S37" s="11">
        <v>0.08</v>
      </c>
      <c r="T37" s="11">
        <v>0.44</v>
      </c>
      <c r="U37" s="83">
        <v>0.06</v>
      </c>
      <c r="V37" s="83" t="s">
        <v>151</v>
      </c>
      <c r="W37" s="11">
        <v>0.26</v>
      </c>
      <c r="X37" s="11">
        <v>0.37</v>
      </c>
      <c r="Y37" s="11">
        <v>0.38</v>
      </c>
      <c r="Z37" s="83" t="s">
        <v>151</v>
      </c>
      <c r="AA37" s="11">
        <v>0.436</v>
      </c>
      <c r="AB37" s="11">
        <v>0.72</v>
      </c>
      <c r="AC37" s="11">
        <v>0.092</v>
      </c>
      <c r="AD37" s="83" t="s">
        <v>151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>
        <v>0.164</v>
      </c>
      <c r="AO37" s="11"/>
      <c r="AP37" s="11">
        <v>0.062</v>
      </c>
      <c r="AQ37" s="11"/>
      <c r="AR37" s="83" t="s">
        <v>151</v>
      </c>
      <c r="AS37" s="11"/>
      <c r="AT37" s="11">
        <v>0.38</v>
      </c>
    </row>
    <row r="38" spans="1:46" ht="11.25">
      <c r="A38" s="67" t="s">
        <v>81</v>
      </c>
      <c r="B38" s="52" t="s">
        <v>47</v>
      </c>
      <c r="C38" s="49" t="s">
        <v>43</v>
      </c>
      <c r="D38" s="50" t="s">
        <v>82</v>
      </c>
      <c r="E38" s="50">
        <f>COUNTA(J38:AT38)</f>
        <v>0</v>
      </c>
      <c r="F38" s="50">
        <f>COUNTIF(J38:AT38,"&lt;150")</f>
        <v>0</v>
      </c>
      <c r="G38" s="51" t="e">
        <f t="shared" si="0"/>
        <v>#DIV/0!</v>
      </c>
      <c r="H38" s="50" t="s">
        <v>127</v>
      </c>
      <c r="I38" s="10" t="e">
        <f>+AVERAGE(J38:AT38)</f>
        <v>#DIV/0!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1.25">
      <c r="A39" s="67" t="s">
        <v>83</v>
      </c>
      <c r="B39" s="48" t="s">
        <v>47</v>
      </c>
      <c r="C39" s="49" t="s">
        <v>43</v>
      </c>
      <c r="D39" s="54" t="s">
        <v>101</v>
      </c>
      <c r="E39" s="50">
        <f>COUNT(J39:AT39)</f>
        <v>0</v>
      </c>
      <c r="F39" s="50">
        <f>COUNTIF(J39:AT39,"&lt;=500")</f>
        <v>0</v>
      </c>
      <c r="G39" s="51" t="e">
        <f t="shared" si="0"/>
        <v>#DIV/0!</v>
      </c>
      <c r="H39" s="50" t="s">
        <v>127</v>
      </c>
      <c r="I39" s="10" t="e">
        <f>+AVERAGE(J39:AT39)</f>
        <v>#DIV/0!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1.25">
      <c r="A40" s="67" t="s">
        <v>84</v>
      </c>
      <c r="B40" s="48" t="s">
        <v>47</v>
      </c>
      <c r="C40" s="49" t="s">
        <v>43</v>
      </c>
      <c r="D40" s="50" t="s">
        <v>85</v>
      </c>
      <c r="E40" s="50">
        <f>COUNTA(J40:AT40)</f>
        <v>0</v>
      </c>
      <c r="F40" s="50">
        <f>COUNTIF(J40:AT40,"&lt;=2000")</f>
        <v>0</v>
      </c>
      <c r="G40" s="51" t="e">
        <f t="shared" si="0"/>
        <v>#DIV/0!</v>
      </c>
      <c r="H40" s="50" t="s">
        <v>127</v>
      </c>
      <c r="I40" s="10" t="e">
        <f>+AVERAGE(J40:AT40)</f>
        <v>#DIV/0!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1.25">
      <c r="A41" s="67" t="s">
        <v>86</v>
      </c>
      <c r="B41" s="48" t="s">
        <v>47</v>
      </c>
      <c r="C41" s="49" t="s">
        <v>43</v>
      </c>
      <c r="D41" s="50" t="s">
        <v>87</v>
      </c>
      <c r="E41" s="50">
        <f>COUNTA(J41:AT41)</f>
        <v>0</v>
      </c>
      <c r="F41" s="50">
        <f>COUNTIF(J41:AT41,"&lt;100")</f>
        <v>0</v>
      </c>
      <c r="G41" s="51" t="e">
        <f t="shared" si="0"/>
        <v>#DIV/0!</v>
      </c>
      <c r="H41" s="50" t="s">
        <v>127</v>
      </c>
      <c r="I41" s="10" t="e">
        <f>+AVERAGE(J41:AT41)</f>
        <v>#DIV/0!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1.25">
      <c r="A42" s="67" t="s">
        <v>88</v>
      </c>
      <c r="B42" s="48" t="s">
        <v>47</v>
      </c>
      <c r="C42" s="49" t="s">
        <v>43</v>
      </c>
      <c r="D42" s="50" t="s">
        <v>89</v>
      </c>
      <c r="E42" s="50">
        <f>COUNTA(J42:AT42)</f>
        <v>0</v>
      </c>
      <c r="F42" s="50">
        <f>COUNTIF(J42:AT42,"&lt;5")</f>
        <v>0</v>
      </c>
      <c r="G42" s="51" t="e">
        <f t="shared" si="0"/>
        <v>#DIV/0!</v>
      </c>
      <c r="H42" s="50" t="s">
        <v>127</v>
      </c>
      <c r="I42" s="10" t="e">
        <f>+AVERAGE(J42:AT42)</f>
        <v>#DIV/0!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1.25">
      <c r="A43" s="69" t="s">
        <v>90</v>
      </c>
      <c r="B43" s="53" t="s">
        <v>47</v>
      </c>
      <c r="C43" s="49" t="s">
        <v>43</v>
      </c>
      <c r="D43" s="50" t="s">
        <v>91</v>
      </c>
      <c r="E43" s="50">
        <f>COUNTA(J43:AT43)</f>
        <v>0</v>
      </c>
      <c r="F43" s="50">
        <f>COUNTIF(J43:AT43,"&lt;20")</f>
        <v>0</v>
      </c>
      <c r="G43" s="51" t="e">
        <f t="shared" si="0"/>
        <v>#DIV/0!</v>
      </c>
      <c r="H43" s="50" t="s">
        <v>127</v>
      </c>
      <c r="I43" s="10" t="e">
        <f>+AVERAGE(J43:AT43)</f>
        <v>#DIV/0!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1.25">
      <c r="A44" s="67" t="s">
        <v>92</v>
      </c>
      <c r="B44" s="53" t="s">
        <v>47</v>
      </c>
      <c r="C44" s="55" t="s">
        <v>45</v>
      </c>
      <c r="D44" s="56" t="s">
        <v>93</v>
      </c>
      <c r="E44" s="56"/>
      <c r="F44" s="56"/>
      <c r="G44" s="57" t="e">
        <f t="shared" si="0"/>
        <v>#DIV/0!</v>
      </c>
      <c r="H44" s="56"/>
      <c r="I44" s="10" t="e">
        <f>+AVERAGE(J44:AT44)</f>
        <v>#DIV/0!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1.25">
      <c r="A45" s="67" t="s">
        <v>94</v>
      </c>
      <c r="B45" s="48" t="s">
        <v>47</v>
      </c>
      <c r="C45" s="49" t="s">
        <v>43</v>
      </c>
      <c r="D45" s="50" t="s">
        <v>72</v>
      </c>
      <c r="E45" s="50">
        <f>COUNTA(J45:AT45)</f>
        <v>0</v>
      </c>
      <c r="F45" s="50">
        <f>COUNTIF(J45:AT45,"&lt;10")</f>
        <v>0</v>
      </c>
      <c r="G45" s="51" t="e">
        <f t="shared" si="0"/>
        <v>#DIV/0!</v>
      </c>
      <c r="H45" s="50" t="s">
        <v>127</v>
      </c>
      <c r="I45" s="10" t="e">
        <f>+AVERAGE(J45:AT45)</f>
        <v>#DIV/0!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1.25">
      <c r="A46" s="67" t="s">
        <v>95</v>
      </c>
      <c r="B46" s="52" t="s">
        <v>47</v>
      </c>
      <c r="C46" s="49" t="s">
        <v>43</v>
      </c>
      <c r="D46" s="50" t="s">
        <v>96</v>
      </c>
      <c r="E46" s="50">
        <f>COUNTA(J46:AT46)</f>
        <v>0</v>
      </c>
      <c r="F46" s="50">
        <f>COUNTIF(J46:AT46,"&lt;=6")</f>
        <v>0</v>
      </c>
      <c r="G46" s="51" t="e">
        <f t="shared" si="0"/>
        <v>#DIV/0!</v>
      </c>
      <c r="H46" s="50" t="s">
        <v>127</v>
      </c>
      <c r="I46" s="10" t="e">
        <f>+AVERAGE(J46:AT46)</f>
        <v>#DIV/0!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1.25">
      <c r="A47" s="67" t="s">
        <v>97</v>
      </c>
      <c r="B47" s="52" t="s">
        <v>47</v>
      </c>
      <c r="C47" s="49" t="s">
        <v>43</v>
      </c>
      <c r="D47" s="50" t="s">
        <v>91</v>
      </c>
      <c r="E47" s="50">
        <f>COUNTA(J47:AT47)</f>
        <v>0</v>
      </c>
      <c r="F47" s="50">
        <f>COUNTIF(J47:AT47,"&lt;20")</f>
        <v>0</v>
      </c>
      <c r="G47" s="51" t="e">
        <f t="shared" si="0"/>
        <v>#DIV/0!</v>
      </c>
      <c r="H47" s="50" t="s">
        <v>127</v>
      </c>
      <c r="I47" s="10" t="e">
        <f>+AVERAGE(J47:AT47)</f>
        <v>#DIV/0!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1.25">
      <c r="A48" s="67" t="s">
        <v>98</v>
      </c>
      <c r="B48" s="52" t="s">
        <v>47</v>
      </c>
      <c r="C48" s="49" t="s">
        <v>43</v>
      </c>
      <c r="D48" s="50" t="s">
        <v>75</v>
      </c>
      <c r="E48" s="50">
        <f>COUNTA(J48:AT48)</f>
        <v>0</v>
      </c>
      <c r="F48" s="50">
        <f>COUNTIF(J48:AT48,"&lt;=200")</f>
        <v>0</v>
      </c>
      <c r="G48" s="51" t="e">
        <f t="shared" si="0"/>
        <v>#DIV/0!</v>
      </c>
      <c r="H48" s="50" t="s">
        <v>127</v>
      </c>
      <c r="I48" s="10" t="e">
        <f>+AVERAGE(J48:AT48)</f>
        <v>#DIV/0!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1.25">
      <c r="A49" s="67" t="s">
        <v>99</v>
      </c>
      <c r="B49" s="48" t="s">
        <v>47</v>
      </c>
      <c r="C49" s="49" t="s">
        <v>43</v>
      </c>
      <c r="D49" s="50" t="s">
        <v>100</v>
      </c>
      <c r="E49" s="50">
        <f>COUNTA(J49:AT49)</f>
        <v>0</v>
      </c>
      <c r="F49" s="50">
        <f>COUNTIF(J49:AT49,"&lt;=20")</f>
        <v>0</v>
      </c>
      <c r="G49" s="51" t="e">
        <f t="shared" si="0"/>
        <v>#DIV/0!</v>
      </c>
      <c r="H49" s="50" t="s">
        <v>127</v>
      </c>
      <c r="I49" s="10" t="e">
        <f>+AVERAGE(J49:AT49)</f>
        <v>#DIV/0!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ht="11.25">
      <c r="H50" s="76"/>
    </row>
    <row r="51" spans="2:10" ht="11.25" customHeight="1">
      <c r="B51" s="106" t="s">
        <v>51</v>
      </c>
      <c r="C51" s="107"/>
      <c r="D51" s="108"/>
      <c r="E51" s="23">
        <f>E25+E34+E37+E44</f>
        <v>32</v>
      </c>
      <c r="F51" s="23">
        <f>F25+F34+F37+F44</f>
        <v>19</v>
      </c>
      <c r="G51" s="24">
        <f>+F51/E51</f>
        <v>0.59375</v>
      </c>
      <c r="H51" s="79" t="s">
        <v>123</v>
      </c>
      <c r="I51" s="27"/>
      <c r="J51" s="85"/>
    </row>
    <row r="52" spans="2:9" ht="11.25" customHeight="1">
      <c r="B52" s="115" t="s">
        <v>43</v>
      </c>
      <c r="C52" s="116"/>
      <c r="D52" s="117"/>
      <c r="E52" s="20">
        <f>+E22+E20+E19+E17+E28+E29+SUM(E38:E43)+SUM(E45:E49)</f>
        <v>17</v>
      </c>
      <c r="F52" s="20">
        <f>+F22+F20+F19+F17+F28+F29+SUM(F38:F43)+SUM(F45:F49)</f>
        <v>8</v>
      </c>
      <c r="G52" s="21">
        <f>+F52/E52</f>
        <v>0.47058823529411764</v>
      </c>
      <c r="H52" s="71" t="s">
        <v>125</v>
      </c>
      <c r="I52" s="27"/>
    </row>
    <row r="53" spans="2:9" ht="11.25" customHeight="1">
      <c r="B53" s="118" t="s">
        <v>29</v>
      </c>
      <c r="C53" s="119"/>
      <c r="D53" s="120"/>
      <c r="E53" s="34">
        <f>+E23+E21+E16+E14+E9+E8+E5+E18+E30+E32+E33+E35+E36</f>
        <v>53</v>
      </c>
      <c r="F53" s="34">
        <f>+F23+F21+F16+F14+F9+F8+F5+F18+F30+F32+F33+F35+F36</f>
        <v>16</v>
      </c>
      <c r="G53" s="14">
        <f>+F53/E53</f>
        <v>0.3018867924528302</v>
      </c>
      <c r="H53" s="41" t="s">
        <v>123</v>
      </c>
      <c r="I53" s="27"/>
    </row>
    <row r="54" spans="2:10" ht="11.25" customHeight="1">
      <c r="B54" s="121" t="s">
        <v>52</v>
      </c>
      <c r="C54" s="122"/>
      <c r="D54" s="123"/>
      <c r="E54" s="28">
        <f>+E22+E20+E16+E25+E17+E19+E28+E29+E31+E34+E37+SUM(E38:E49)</f>
        <v>49</v>
      </c>
      <c r="F54" s="28">
        <f>+F22+F20+F16+F25+F17+F19+F28+F29+F31+F34+F37+SUM(F38:F49)</f>
        <v>27</v>
      </c>
      <c r="G54" s="29">
        <f>+F54/E54</f>
        <v>0.5510204081632653</v>
      </c>
      <c r="H54" s="81" t="s">
        <v>123</v>
      </c>
      <c r="I54" s="27"/>
      <c r="J54" s="85"/>
    </row>
    <row r="55" spans="2:9" ht="11.25" customHeight="1">
      <c r="B55" s="112" t="s">
        <v>53</v>
      </c>
      <c r="C55" s="113"/>
      <c r="D55" s="114"/>
      <c r="E55" s="33">
        <f>+E24+E7+E4+E14+E26+E27+E31</f>
        <v>37</v>
      </c>
      <c r="F55" s="33">
        <f>+F24+F7+F4+F14+F26+F27+F31</f>
        <v>51</v>
      </c>
      <c r="G55" s="9">
        <f>+F55/E55</f>
        <v>1.3783783783783783</v>
      </c>
      <c r="H55" s="78" t="s">
        <v>125</v>
      </c>
      <c r="I55" s="27"/>
    </row>
    <row r="58" ht="11.25">
      <c r="J58" s="26"/>
    </row>
    <row r="59" ht="11.25">
      <c r="J59" s="26"/>
    </row>
    <row r="60" ht="11.25">
      <c r="J60" s="26"/>
    </row>
    <row r="61" ht="11.25">
      <c r="J61" s="26"/>
    </row>
    <row r="62" spans="10:46" ht="11.25" customHeight="1">
      <c r="J62" s="26"/>
      <c r="AT62" s="26"/>
    </row>
    <row r="63" spans="10:46" ht="11.25">
      <c r="J63" s="26"/>
      <c r="AT63" s="26"/>
    </row>
    <row r="64" spans="10:46" ht="11.25">
      <c r="J64" s="26"/>
      <c r="AT64" s="26"/>
    </row>
    <row r="65" spans="10:46" ht="11.25">
      <c r="J65" s="26"/>
      <c r="AT65" s="26"/>
    </row>
    <row r="66" spans="10:46" ht="11.25">
      <c r="J66" s="26"/>
      <c r="AT66" s="26"/>
    </row>
    <row r="67" spans="10:46" ht="11.25">
      <c r="J67" s="26"/>
      <c r="AT67" s="26"/>
    </row>
    <row r="68" spans="10:46" ht="11.25">
      <c r="J68" s="26"/>
      <c r="AT68" s="26"/>
    </row>
    <row r="69" spans="10:46" ht="11.25">
      <c r="J69" s="26"/>
      <c r="AT69" s="26"/>
    </row>
    <row r="70" spans="10:46" ht="11.25">
      <c r="J70" s="26"/>
      <c r="AT70" s="26"/>
    </row>
    <row r="71" spans="10:46" ht="11.25">
      <c r="J71" s="26"/>
      <c r="AT71" s="26"/>
    </row>
    <row r="72" spans="10:46" ht="11.25">
      <c r="J72" s="26"/>
      <c r="AT72" s="26"/>
    </row>
    <row r="73" spans="10:46" ht="11.25">
      <c r="J73" s="26"/>
      <c r="AT73" s="26"/>
    </row>
    <row r="74" spans="10:46" ht="11.25">
      <c r="J74" s="26"/>
      <c r="AT74" s="26"/>
    </row>
    <row r="75" spans="10:46" ht="11.25">
      <c r="J75" s="26"/>
      <c r="AT75" s="26"/>
    </row>
    <row r="76" ht="11.25">
      <c r="J76" s="26"/>
    </row>
    <row r="77" ht="11.25">
      <c r="J77" s="26"/>
    </row>
    <row r="78" ht="11.25" customHeight="1">
      <c r="J78" s="26"/>
    </row>
    <row r="79" ht="11.25">
      <c r="J79" s="26"/>
    </row>
    <row r="80" ht="11.25">
      <c r="J80" s="26"/>
    </row>
    <row r="81" ht="11.25">
      <c r="J81" s="26"/>
    </row>
  </sheetData>
  <sheetProtection/>
  <mergeCells count="30">
    <mergeCell ref="AQ2:AT2"/>
    <mergeCell ref="AA2:AD2"/>
    <mergeCell ref="AE2:AH2"/>
    <mergeCell ref="AI2:AL2"/>
    <mergeCell ref="AM2:AP2"/>
    <mergeCell ref="K2:L2"/>
    <mergeCell ref="M2:N2"/>
    <mergeCell ref="O2:P2"/>
    <mergeCell ref="Q2:R2"/>
    <mergeCell ref="S2:V2"/>
    <mergeCell ref="W2:Z2"/>
    <mergeCell ref="B51:D51"/>
    <mergeCell ref="A22:A23"/>
    <mergeCell ref="B22:B23"/>
    <mergeCell ref="A20:A21"/>
    <mergeCell ref="B20:B21"/>
    <mergeCell ref="B55:D55"/>
    <mergeCell ref="B52:D52"/>
    <mergeCell ref="B53:D53"/>
    <mergeCell ref="B54:D54"/>
    <mergeCell ref="A34:A35"/>
    <mergeCell ref="B34:B35"/>
    <mergeCell ref="A2:C2"/>
    <mergeCell ref="E2:I2"/>
    <mergeCell ref="A7:A8"/>
    <mergeCell ref="B7:B8"/>
    <mergeCell ref="I7:I8"/>
    <mergeCell ref="I20:I21"/>
    <mergeCell ref="I22:I23"/>
    <mergeCell ref="I34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5" r:id="rId1"/>
  <colBreaks count="2" manualBreakCount="2">
    <brk id="16" max="55" man="1"/>
    <brk id="3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1.8515625" style="4" customWidth="1"/>
    <col min="2" max="2" width="8.421875" style="26" customWidth="1"/>
    <col min="3" max="3" width="15.8515625" style="4" customWidth="1"/>
    <col min="4" max="4" width="12.8515625" style="26" customWidth="1"/>
    <col min="5" max="5" width="7.00390625" style="26" customWidth="1"/>
    <col min="6" max="7" width="6.140625" style="26" customWidth="1"/>
    <col min="8" max="8" width="11.57421875" style="26" customWidth="1"/>
    <col min="9" max="9" width="6.57421875" style="26" bestFit="1" customWidth="1"/>
    <col min="10" max="21" width="6.7109375" style="4" customWidth="1"/>
    <col min="22" max="16384" width="9.140625" style="4" customWidth="1"/>
  </cols>
  <sheetData>
    <row r="1" ht="15.75">
      <c r="A1" s="38" t="s">
        <v>126</v>
      </c>
    </row>
    <row r="2" spans="1:21" s="1" customFormat="1" ht="24.75" customHeight="1">
      <c r="A2" s="95" t="s">
        <v>108</v>
      </c>
      <c r="B2" s="95"/>
      <c r="C2" s="95"/>
      <c r="D2" s="43" t="s">
        <v>60</v>
      </c>
      <c r="E2" s="96" t="s">
        <v>13</v>
      </c>
      <c r="F2" s="97"/>
      <c r="G2" s="97"/>
      <c r="H2" s="97"/>
      <c r="I2" s="98"/>
      <c r="J2" s="77" t="s">
        <v>110</v>
      </c>
      <c r="K2" s="77" t="s">
        <v>111</v>
      </c>
      <c r="L2" s="77" t="s">
        <v>112</v>
      </c>
      <c r="M2" s="77" t="s">
        <v>113</v>
      </c>
      <c r="N2" s="77" t="s">
        <v>114</v>
      </c>
      <c r="O2" s="77" t="s">
        <v>115</v>
      </c>
      <c r="P2" s="77" t="s">
        <v>116</v>
      </c>
      <c r="Q2" s="77" t="s">
        <v>117</v>
      </c>
      <c r="R2" s="77" t="s">
        <v>118</v>
      </c>
      <c r="S2" s="77" t="s">
        <v>119</v>
      </c>
      <c r="T2" s="77" t="s">
        <v>14</v>
      </c>
      <c r="U2" s="77" t="s">
        <v>120</v>
      </c>
    </row>
    <row r="3" spans="1:21" ht="82.5">
      <c r="A3" s="2" t="s">
        <v>15</v>
      </c>
      <c r="B3" s="2" t="s">
        <v>16</v>
      </c>
      <c r="C3" s="2" t="s">
        <v>17</v>
      </c>
      <c r="D3" s="43" t="s">
        <v>61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2" t="s">
        <v>109</v>
      </c>
      <c r="K3" s="42" t="s">
        <v>109</v>
      </c>
      <c r="L3" s="42" t="s">
        <v>109</v>
      </c>
      <c r="M3" s="42" t="s">
        <v>109</v>
      </c>
      <c r="N3" s="42" t="s">
        <v>109</v>
      </c>
      <c r="O3" s="42" t="s">
        <v>109</v>
      </c>
      <c r="P3" s="42" t="s">
        <v>109</v>
      </c>
      <c r="Q3" s="42" t="s">
        <v>109</v>
      </c>
      <c r="R3" s="42" t="s">
        <v>109</v>
      </c>
      <c r="S3" s="42" t="s">
        <v>109</v>
      </c>
      <c r="T3" s="42" t="s">
        <v>109</v>
      </c>
      <c r="U3" s="42" t="s">
        <v>109</v>
      </c>
    </row>
    <row r="4" spans="1:21" ht="11.25">
      <c r="A4" s="5" t="s">
        <v>23</v>
      </c>
      <c r="B4" s="6" t="s">
        <v>24</v>
      </c>
      <c r="C4" s="7" t="s">
        <v>25</v>
      </c>
      <c r="D4" s="8" t="s">
        <v>26</v>
      </c>
      <c r="E4" s="8">
        <f>COUNTA(J4:U4)</f>
        <v>12</v>
      </c>
      <c r="F4" s="33">
        <v>10</v>
      </c>
      <c r="G4" s="9">
        <f>+F4/E4</f>
        <v>0.8333333333333334</v>
      </c>
      <c r="H4" s="40" t="s">
        <v>123</v>
      </c>
      <c r="I4" s="10">
        <f>+AVERAGE(J4:U4)</f>
        <v>7.5227272727272725</v>
      </c>
      <c r="J4" s="31">
        <v>7.6</v>
      </c>
      <c r="K4" s="31">
        <v>7.2</v>
      </c>
      <c r="L4" s="31">
        <v>7.7</v>
      </c>
      <c r="M4" s="31">
        <v>7.8</v>
      </c>
      <c r="N4" s="31">
        <v>7.3</v>
      </c>
      <c r="O4" s="31" t="s">
        <v>134</v>
      </c>
      <c r="P4" s="31">
        <v>7.5</v>
      </c>
      <c r="Q4" s="31">
        <v>7.4</v>
      </c>
      <c r="R4" s="31">
        <v>7.7</v>
      </c>
      <c r="S4" s="31">
        <v>7.34</v>
      </c>
      <c r="T4" s="31">
        <v>7.6</v>
      </c>
      <c r="U4" s="31">
        <v>7.61</v>
      </c>
    </row>
    <row r="5" spans="1:21" ht="11.25">
      <c r="A5" s="66" t="s">
        <v>27</v>
      </c>
      <c r="B5" s="11" t="s">
        <v>28</v>
      </c>
      <c r="C5" s="12" t="s">
        <v>29</v>
      </c>
      <c r="D5" s="13" t="s">
        <v>30</v>
      </c>
      <c r="E5" s="13">
        <f>COUNTA(J5:U5)</f>
        <v>12</v>
      </c>
      <c r="F5" s="41">
        <f>COUNTIF(J5:U5,"&lt;=170")</f>
        <v>12</v>
      </c>
      <c r="G5" s="14">
        <f>+F5/E5</f>
        <v>1</v>
      </c>
      <c r="H5" s="41" t="s">
        <v>123</v>
      </c>
      <c r="I5" s="10">
        <f>+AVERAGE(J5:U5)</f>
        <v>117.01666666666667</v>
      </c>
      <c r="J5" s="32">
        <v>92</v>
      </c>
      <c r="K5" s="32">
        <v>90.2</v>
      </c>
      <c r="L5" s="32">
        <v>166</v>
      </c>
      <c r="M5" s="32">
        <v>97</v>
      </c>
      <c r="N5" s="32">
        <v>101</v>
      </c>
      <c r="O5" s="32">
        <v>159</v>
      </c>
      <c r="P5" s="32">
        <v>108</v>
      </c>
      <c r="Q5" s="32">
        <v>122</v>
      </c>
      <c r="R5" s="32">
        <v>116</v>
      </c>
      <c r="S5" s="32">
        <v>118</v>
      </c>
      <c r="T5" s="32">
        <v>123</v>
      </c>
      <c r="U5" s="32">
        <v>112</v>
      </c>
    </row>
    <row r="6" spans="1:21" ht="11.25">
      <c r="A6" s="72" t="s">
        <v>54</v>
      </c>
      <c r="B6" s="30"/>
      <c r="C6" s="5"/>
      <c r="D6" s="6" t="s">
        <v>12</v>
      </c>
      <c r="E6" s="6">
        <f>COUNTA(J6:U6)</f>
        <v>0</v>
      </c>
      <c r="F6" s="70"/>
      <c r="G6" s="17"/>
      <c r="H6" s="70"/>
      <c r="I6" s="1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>
      <c r="A7" s="99" t="s">
        <v>31</v>
      </c>
      <c r="B7" s="100" t="s">
        <v>32</v>
      </c>
      <c r="C7" s="7" t="s">
        <v>25</v>
      </c>
      <c r="D7" s="8" t="s">
        <v>33</v>
      </c>
      <c r="E7" s="8">
        <f>COUNTA(J7:U8)</f>
        <v>11</v>
      </c>
      <c r="F7" s="8">
        <f>COUNTIF(J7:U8,"&lt;=1")</f>
        <v>11</v>
      </c>
      <c r="G7" s="9">
        <f>+F7/E7</f>
        <v>1</v>
      </c>
      <c r="H7" s="78" t="s">
        <v>123</v>
      </c>
      <c r="I7" s="103">
        <f>+AVERAGE(J7:U7)</f>
        <v>0</v>
      </c>
      <c r="J7" s="130">
        <v>0</v>
      </c>
      <c r="K7" s="130">
        <v>0</v>
      </c>
      <c r="L7" s="130">
        <v>0</v>
      </c>
      <c r="M7" s="130"/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</row>
    <row r="8" spans="1:21" ht="11.25" customHeight="1">
      <c r="A8" s="99"/>
      <c r="B8" s="100"/>
      <c r="C8" s="12" t="s">
        <v>29</v>
      </c>
      <c r="D8" s="44" t="s">
        <v>62</v>
      </c>
      <c r="E8" s="13">
        <f>COUNTA(J7:U8)</f>
        <v>11</v>
      </c>
      <c r="F8" s="13">
        <f>COUNTIF(J7:U8,"&lt;=5")</f>
        <v>11</v>
      </c>
      <c r="G8" s="14">
        <f>+F8/E8</f>
        <v>1</v>
      </c>
      <c r="H8" s="41" t="s">
        <v>123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1.25" customHeight="1">
      <c r="A9" s="16" t="s">
        <v>34</v>
      </c>
      <c r="B9" s="11" t="s">
        <v>35</v>
      </c>
      <c r="C9" s="12" t="s">
        <v>29</v>
      </c>
      <c r="D9" s="35" t="s">
        <v>67</v>
      </c>
      <c r="E9" s="13">
        <f aca="true" t="shared" si="0" ref="E9:E16">COUNTA(J9:U9)</f>
        <v>0</v>
      </c>
      <c r="F9" s="13">
        <f>COUNTIF(J9:U9,"&lt;=20")</f>
        <v>0</v>
      </c>
      <c r="G9" s="14"/>
      <c r="H9" s="41"/>
      <c r="I9" s="1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1.25" customHeight="1">
      <c r="A10" s="67" t="s">
        <v>103</v>
      </c>
      <c r="B10" s="11"/>
      <c r="C10" s="5"/>
      <c r="D10" s="6" t="s">
        <v>12</v>
      </c>
      <c r="E10" s="6">
        <f>COUNTA(J10:U10)</f>
        <v>0</v>
      </c>
      <c r="F10" s="70"/>
      <c r="G10" s="17"/>
      <c r="H10" s="70"/>
      <c r="I10" s="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1.25" customHeight="1">
      <c r="A11" s="67" t="s">
        <v>104</v>
      </c>
      <c r="B11" s="11"/>
      <c r="C11" s="16"/>
      <c r="D11" s="6" t="s">
        <v>12</v>
      </c>
      <c r="E11" s="6">
        <f>COUNTA(J11:U11)</f>
        <v>0</v>
      </c>
      <c r="F11" s="70"/>
      <c r="G11" s="17"/>
      <c r="H11" s="70"/>
      <c r="I11" s="1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1.25">
      <c r="A12" s="16" t="s">
        <v>36</v>
      </c>
      <c r="B12" s="11"/>
      <c r="C12" s="16"/>
      <c r="D12" s="6" t="s">
        <v>12</v>
      </c>
      <c r="E12" s="6">
        <f>COUNTA(J12:U12)</f>
        <v>0</v>
      </c>
      <c r="F12" s="6"/>
      <c r="G12" s="17"/>
      <c r="H12" s="70"/>
      <c r="I12" s="10"/>
      <c r="J12" s="31"/>
      <c r="K12" s="31"/>
      <c r="L12" s="31"/>
      <c r="M12" s="31"/>
      <c r="N12" s="31"/>
      <c r="O12" s="31"/>
      <c r="P12" s="15"/>
      <c r="Q12" s="31"/>
      <c r="R12" s="15"/>
      <c r="S12" s="15"/>
      <c r="T12" s="31"/>
      <c r="U12" s="31"/>
    </row>
    <row r="13" spans="1:21" ht="11.25">
      <c r="A13" s="16" t="s">
        <v>37</v>
      </c>
      <c r="B13" s="11"/>
      <c r="C13" s="16"/>
      <c r="D13" s="6" t="s">
        <v>12</v>
      </c>
      <c r="E13" s="6">
        <f>COUNTA(J13:U13)</f>
        <v>0</v>
      </c>
      <c r="F13" s="6"/>
      <c r="G13" s="17"/>
      <c r="H13" s="70"/>
      <c r="I13" s="10"/>
      <c r="J13" s="31"/>
      <c r="K13" s="31"/>
      <c r="L13" s="31"/>
      <c r="M13" s="31"/>
      <c r="N13" s="31"/>
      <c r="O13" s="31"/>
      <c r="P13" s="31"/>
      <c r="Q13" s="15"/>
      <c r="R13" s="31"/>
      <c r="S13" s="31"/>
      <c r="T13" s="15"/>
      <c r="U13" s="15"/>
    </row>
    <row r="14" spans="1:21" ht="11.25">
      <c r="A14" s="16" t="s">
        <v>0</v>
      </c>
      <c r="B14" s="11" t="s">
        <v>38</v>
      </c>
      <c r="C14" s="12" t="s">
        <v>39</v>
      </c>
      <c r="D14" s="45" t="s">
        <v>63</v>
      </c>
      <c r="E14" s="13">
        <f t="shared" si="0"/>
        <v>1</v>
      </c>
      <c r="F14" s="18">
        <f>COUNTIF(J14:U14,"&lt;=150")</f>
        <v>1</v>
      </c>
      <c r="G14" s="14">
        <f>F14/E14</f>
        <v>1</v>
      </c>
      <c r="H14" s="41" t="s">
        <v>123</v>
      </c>
      <c r="I14" s="10">
        <f>+AVERAGE(J14:U14)</f>
        <v>54</v>
      </c>
      <c r="J14" s="31"/>
      <c r="K14" s="31">
        <v>54</v>
      </c>
      <c r="L14" s="31"/>
      <c r="M14" s="31"/>
      <c r="N14" s="31"/>
      <c r="O14" s="31"/>
      <c r="P14" s="15"/>
      <c r="Q14" s="31"/>
      <c r="R14" s="15"/>
      <c r="S14" s="15"/>
      <c r="T14" s="31"/>
      <c r="U14" s="31"/>
    </row>
    <row r="15" spans="1:21" ht="11.25">
      <c r="A15" s="73" t="s">
        <v>105</v>
      </c>
      <c r="B15" s="11"/>
      <c r="C15" s="16"/>
      <c r="D15" s="6" t="s">
        <v>12</v>
      </c>
      <c r="E15" s="6">
        <f t="shared" si="0"/>
        <v>0</v>
      </c>
      <c r="F15" s="6"/>
      <c r="G15" s="17"/>
      <c r="H15" s="70"/>
      <c r="I15" s="10"/>
      <c r="J15" s="31"/>
      <c r="K15" s="31"/>
      <c r="L15" s="31"/>
      <c r="M15" s="31"/>
      <c r="N15" s="31"/>
      <c r="O15" s="31"/>
      <c r="P15" s="31"/>
      <c r="Q15" s="15"/>
      <c r="R15" s="31"/>
      <c r="S15" s="31"/>
      <c r="T15" s="15"/>
      <c r="U15" s="15"/>
    </row>
    <row r="16" spans="1:21" ht="11.25">
      <c r="A16" s="16" t="s">
        <v>1</v>
      </c>
      <c r="B16" s="11" t="s">
        <v>38</v>
      </c>
      <c r="C16" s="12" t="s">
        <v>40</v>
      </c>
      <c r="D16" s="46" t="s">
        <v>64</v>
      </c>
      <c r="E16" s="13">
        <f t="shared" si="0"/>
        <v>1</v>
      </c>
      <c r="F16" s="18">
        <f>COUNTIF(J16:U16,"&lt;=70")</f>
        <v>1</v>
      </c>
      <c r="G16" s="14">
        <f aca="true" t="shared" si="1" ref="G16:G24">F16/E16</f>
        <v>1</v>
      </c>
      <c r="H16" s="41" t="s">
        <v>123</v>
      </c>
      <c r="I16" s="10">
        <f>+AVERAGE(J16:U16)</f>
        <v>31.84</v>
      </c>
      <c r="J16" s="31"/>
      <c r="K16" s="31">
        <v>31.84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1.25">
      <c r="A17" s="67" t="s">
        <v>6</v>
      </c>
      <c r="B17" s="11" t="s">
        <v>38</v>
      </c>
      <c r="C17" s="19" t="s">
        <v>43</v>
      </c>
      <c r="D17" s="20" t="s">
        <v>44</v>
      </c>
      <c r="E17" s="20">
        <f>COUNTA(J17:U17)</f>
        <v>10</v>
      </c>
      <c r="F17" s="71">
        <f>COUNTIF(J17:U17,"&lt;=1,5")</f>
        <v>10</v>
      </c>
      <c r="G17" s="21">
        <f t="shared" si="1"/>
        <v>1</v>
      </c>
      <c r="H17" s="71" t="s">
        <v>123</v>
      </c>
      <c r="I17" s="10">
        <f>+AVERAGE(J17:U17)</f>
        <v>0.194</v>
      </c>
      <c r="J17" s="31"/>
      <c r="K17" s="31">
        <v>0.23</v>
      </c>
      <c r="L17" s="31">
        <v>0.28</v>
      </c>
      <c r="M17" s="31"/>
      <c r="N17" s="31">
        <v>0.3</v>
      </c>
      <c r="O17" s="31">
        <v>0</v>
      </c>
      <c r="P17" s="32">
        <v>0.16</v>
      </c>
      <c r="Q17" s="32">
        <v>0.5</v>
      </c>
      <c r="R17" s="32">
        <v>0.2</v>
      </c>
      <c r="S17" s="32">
        <v>0.1</v>
      </c>
      <c r="T17" s="32">
        <v>0</v>
      </c>
      <c r="U17" s="32">
        <v>0.17</v>
      </c>
    </row>
    <row r="18" spans="1:21" ht="11.25">
      <c r="A18" s="67" t="s">
        <v>7</v>
      </c>
      <c r="B18" s="11" t="s">
        <v>38</v>
      </c>
      <c r="C18" s="12" t="s">
        <v>29</v>
      </c>
      <c r="D18" s="13" t="s">
        <v>46</v>
      </c>
      <c r="E18" s="13">
        <f>COUNTA(J18:U18)</f>
        <v>1</v>
      </c>
      <c r="F18" s="41">
        <f>COUNTIF(J18:U18,"&lt;=1200")</f>
        <v>1</v>
      </c>
      <c r="G18" s="14">
        <f t="shared" si="1"/>
        <v>1</v>
      </c>
      <c r="H18" s="41" t="s">
        <v>123</v>
      </c>
      <c r="I18" s="10">
        <f>+AVERAGE(J18:U18)</f>
        <v>542</v>
      </c>
      <c r="J18" s="31"/>
      <c r="K18" s="31">
        <v>542</v>
      </c>
      <c r="L18" s="31"/>
      <c r="M18" s="31"/>
      <c r="N18" s="31"/>
      <c r="O18" s="31"/>
      <c r="P18" s="32"/>
      <c r="Q18" s="32"/>
      <c r="R18" s="32"/>
      <c r="S18" s="32"/>
      <c r="T18" s="32"/>
      <c r="U18" s="32"/>
    </row>
    <row r="19" spans="1:21" ht="11.25">
      <c r="A19" s="16" t="s">
        <v>55</v>
      </c>
      <c r="B19" s="11"/>
      <c r="C19" s="37" t="s">
        <v>43</v>
      </c>
      <c r="D19" s="36" t="s">
        <v>68</v>
      </c>
      <c r="E19" s="20">
        <f>COUNTA(J19:U19)</f>
        <v>9</v>
      </c>
      <c r="F19" s="20">
        <f>COUNTIF(J19:U19,"&lt;=0,5")</f>
        <v>6</v>
      </c>
      <c r="G19" s="21">
        <f t="shared" si="1"/>
        <v>0.6666666666666666</v>
      </c>
      <c r="H19" s="71" t="s">
        <v>124</v>
      </c>
      <c r="I19" s="10">
        <f>+AVERAGE(J19:U19)</f>
        <v>0.28</v>
      </c>
      <c r="J19" s="31"/>
      <c r="K19" s="31"/>
      <c r="L19" s="31">
        <v>0.09</v>
      </c>
      <c r="M19" s="31"/>
      <c r="N19" s="31">
        <v>0.1</v>
      </c>
      <c r="O19" s="31">
        <v>0.57</v>
      </c>
      <c r="P19" s="32">
        <v>0.22</v>
      </c>
      <c r="Q19" s="32">
        <v>0</v>
      </c>
      <c r="R19" s="32">
        <v>0</v>
      </c>
      <c r="S19" s="32">
        <v>0.45</v>
      </c>
      <c r="T19" s="32">
        <v>0.51</v>
      </c>
      <c r="U19" s="32">
        <v>0.58</v>
      </c>
    </row>
    <row r="20" spans="1:21" ht="11.25" customHeight="1">
      <c r="A20" s="111" t="s">
        <v>9</v>
      </c>
      <c r="B20" s="110" t="s">
        <v>47</v>
      </c>
      <c r="C20" s="19" t="s">
        <v>43</v>
      </c>
      <c r="D20" s="47" t="s">
        <v>65</v>
      </c>
      <c r="E20" s="20">
        <f>COUNTA(J20:U21)</f>
        <v>11</v>
      </c>
      <c r="F20" s="20">
        <f>COUNTIF(J20:U21,"&lt;=2000")</f>
        <v>11</v>
      </c>
      <c r="G20" s="21">
        <f t="shared" si="1"/>
        <v>1</v>
      </c>
      <c r="H20" s="71" t="s">
        <v>123</v>
      </c>
      <c r="I20" s="10">
        <v>42.14</v>
      </c>
      <c r="J20" s="131">
        <v>0.001</v>
      </c>
      <c r="K20" s="131">
        <v>42</v>
      </c>
      <c r="L20" s="131">
        <v>0.04</v>
      </c>
      <c r="M20" s="131"/>
      <c r="N20" s="131">
        <v>0.02</v>
      </c>
      <c r="O20" s="131">
        <v>0.08</v>
      </c>
      <c r="P20" s="130">
        <v>0.16</v>
      </c>
      <c r="Q20" s="131">
        <v>0.02</v>
      </c>
      <c r="R20" s="130">
        <v>0</v>
      </c>
      <c r="S20" s="130">
        <v>0.021</v>
      </c>
      <c r="T20" s="131">
        <v>0</v>
      </c>
      <c r="U20" s="131">
        <v>0.023</v>
      </c>
    </row>
    <row r="21" spans="1:21" ht="11.25" customHeight="1">
      <c r="A21" s="111"/>
      <c r="B21" s="110"/>
      <c r="C21" s="12" t="s">
        <v>29</v>
      </c>
      <c r="D21" s="13" t="s">
        <v>42</v>
      </c>
      <c r="E21" s="13">
        <f>COUNTA(J20:U21)</f>
        <v>11</v>
      </c>
      <c r="F21" s="13">
        <f>COUNTIF(J20:U21,"&lt;=300")</f>
        <v>11</v>
      </c>
      <c r="G21" s="14">
        <f t="shared" si="1"/>
        <v>1</v>
      </c>
      <c r="H21" s="41" t="s">
        <v>123</v>
      </c>
      <c r="I21" s="10">
        <v>42.14</v>
      </c>
      <c r="J21" s="132"/>
      <c r="K21" s="132"/>
      <c r="L21" s="132"/>
      <c r="M21" s="132"/>
      <c r="N21" s="132"/>
      <c r="O21" s="132"/>
      <c r="P21" s="94"/>
      <c r="Q21" s="132"/>
      <c r="R21" s="94"/>
      <c r="S21" s="94"/>
      <c r="T21" s="132"/>
      <c r="U21" s="132"/>
    </row>
    <row r="22" spans="1:21" ht="11.25" customHeight="1">
      <c r="A22" s="109" t="s">
        <v>10</v>
      </c>
      <c r="B22" s="110" t="s">
        <v>47</v>
      </c>
      <c r="C22" s="19" t="s">
        <v>43</v>
      </c>
      <c r="D22" s="47" t="s">
        <v>66</v>
      </c>
      <c r="E22" s="20">
        <f>COUNTA(J22:U23)</f>
        <v>11</v>
      </c>
      <c r="F22" s="20">
        <f>COUNTIF(J22:U23,"&lt;=500")</f>
        <v>11</v>
      </c>
      <c r="G22" s="21">
        <f t="shared" si="1"/>
        <v>1</v>
      </c>
      <c r="H22" s="71" t="s">
        <v>123</v>
      </c>
      <c r="I22" s="103">
        <v>3.4</v>
      </c>
      <c r="J22" s="131">
        <v>0</v>
      </c>
      <c r="K22" s="131">
        <v>17</v>
      </c>
      <c r="L22" s="131">
        <v>0</v>
      </c>
      <c r="M22" s="131"/>
      <c r="N22" s="131">
        <v>0.001</v>
      </c>
      <c r="O22" s="131">
        <v>0.015</v>
      </c>
      <c r="P22" s="130">
        <v>0</v>
      </c>
      <c r="Q22" s="131">
        <v>0.004</v>
      </c>
      <c r="R22" s="130">
        <v>0.004</v>
      </c>
      <c r="S22" s="130">
        <v>0</v>
      </c>
      <c r="T22" s="131">
        <v>0.002</v>
      </c>
      <c r="U22" s="131">
        <v>0</v>
      </c>
    </row>
    <row r="23" spans="1:21" ht="11.25" customHeight="1">
      <c r="A23" s="109"/>
      <c r="B23" s="110"/>
      <c r="C23" s="12" t="s">
        <v>29</v>
      </c>
      <c r="D23" s="35" t="s">
        <v>69</v>
      </c>
      <c r="E23" s="13">
        <f>COUNTA(J22:U23)</f>
        <v>11</v>
      </c>
      <c r="F23" s="13">
        <f>COUNTIF(J22:U23,"&lt;=100")</f>
        <v>11</v>
      </c>
      <c r="G23" s="14">
        <f t="shared" si="1"/>
        <v>1</v>
      </c>
      <c r="H23" s="41" t="s">
        <v>123</v>
      </c>
      <c r="I23" s="94"/>
      <c r="J23" s="132"/>
      <c r="K23" s="132"/>
      <c r="L23" s="132"/>
      <c r="M23" s="132"/>
      <c r="N23" s="132"/>
      <c r="O23" s="132"/>
      <c r="P23" s="94"/>
      <c r="Q23" s="132"/>
      <c r="R23" s="94"/>
      <c r="S23" s="94"/>
      <c r="T23" s="132"/>
      <c r="U23" s="132"/>
    </row>
    <row r="24" spans="1:21" ht="11.25">
      <c r="A24" s="16" t="s">
        <v>11</v>
      </c>
      <c r="B24" s="11" t="s">
        <v>47</v>
      </c>
      <c r="C24" s="7" t="s">
        <v>25</v>
      </c>
      <c r="D24" s="8" t="s">
        <v>42</v>
      </c>
      <c r="E24" s="8">
        <f aca="true" t="shared" si="2" ref="E24:E33">COUNTA(J24:U24)</f>
        <v>10</v>
      </c>
      <c r="F24" s="8">
        <f>COUNTIF(J24:U24,"&lt;=300")</f>
        <v>10</v>
      </c>
      <c r="G24" s="9">
        <f t="shared" si="1"/>
        <v>1</v>
      </c>
      <c r="H24" s="40" t="s">
        <v>123</v>
      </c>
      <c r="I24" s="10">
        <f>+AVERAGE(J24:U24)</f>
        <v>0.3058</v>
      </c>
      <c r="J24" s="31"/>
      <c r="K24" s="31">
        <v>3</v>
      </c>
      <c r="L24" s="31">
        <v>0.007</v>
      </c>
      <c r="M24" s="31"/>
      <c r="N24" s="31">
        <v>0</v>
      </c>
      <c r="O24" s="31">
        <v>0.004</v>
      </c>
      <c r="P24" s="31">
        <v>0</v>
      </c>
      <c r="Q24" s="31">
        <v>0.004</v>
      </c>
      <c r="R24" s="31">
        <v>0.003</v>
      </c>
      <c r="S24" s="31">
        <v>0.02</v>
      </c>
      <c r="T24" s="31">
        <v>0.02</v>
      </c>
      <c r="U24" s="31">
        <v>0</v>
      </c>
    </row>
    <row r="25" spans="1:21" ht="11.25" customHeight="1">
      <c r="A25" s="39" t="s">
        <v>59</v>
      </c>
      <c r="B25" s="11" t="s">
        <v>48</v>
      </c>
      <c r="C25" s="22" t="s">
        <v>45</v>
      </c>
      <c r="D25" s="25" t="s">
        <v>50</v>
      </c>
      <c r="E25" s="23">
        <f t="shared" si="2"/>
        <v>11</v>
      </c>
      <c r="F25" s="23">
        <f>COUNTIF(J25:U25,"&lt;=0")</f>
        <v>11</v>
      </c>
      <c r="G25" s="24">
        <f>+F25/E25</f>
        <v>1</v>
      </c>
      <c r="H25" s="79" t="s">
        <v>123</v>
      </c>
      <c r="I25" s="10">
        <f>+AVERAGE(J25:U25)</f>
        <v>0</v>
      </c>
      <c r="J25" s="31">
        <v>0</v>
      </c>
      <c r="K25" s="31">
        <v>0</v>
      </c>
      <c r="L25" s="31">
        <v>0</v>
      </c>
      <c r="M25" s="31"/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</row>
    <row r="26" spans="1:21" ht="11.25">
      <c r="A26" s="39" t="s">
        <v>57</v>
      </c>
      <c r="B26" s="11" t="s">
        <v>48</v>
      </c>
      <c r="C26" s="7" t="s">
        <v>25</v>
      </c>
      <c r="D26" s="8" t="s">
        <v>49</v>
      </c>
      <c r="E26" s="8">
        <f t="shared" si="2"/>
        <v>11</v>
      </c>
      <c r="F26" s="8">
        <f>COUNTIF(J26:U26,"&lt;=10")</f>
        <v>11</v>
      </c>
      <c r="G26" s="9">
        <f>+F26/E26</f>
        <v>1</v>
      </c>
      <c r="H26" s="78" t="s">
        <v>123</v>
      </c>
      <c r="I26" s="10">
        <f>+AVERAGE(J26:U26)</f>
        <v>1.5454545454545454</v>
      </c>
      <c r="J26" s="31">
        <v>0</v>
      </c>
      <c r="K26" s="31">
        <v>1</v>
      </c>
      <c r="L26" s="31">
        <v>0</v>
      </c>
      <c r="M26" s="31"/>
      <c r="N26" s="31">
        <v>0</v>
      </c>
      <c r="O26" s="31">
        <v>0</v>
      </c>
      <c r="P26" s="31">
        <v>0</v>
      </c>
      <c r="Q26" s="31">
        <v>2</v>
      </c>
      <c r="R26" s="31">
        <v>0</v>
      </c>
      <c r="S26" s="31">
        <v>5</v>
      </c>
      <c r="T26" s="31">
        <v>0</v>
      </c>
      <c r="U26" s="31">
        <v>9</v>
      </c>
    </row>
    <row r="27" spans="1:21" ht="11.25" customHeight="1">
      <c r="A27" s="39" t="s">
        <v>58</v>
      </c>
      <c r="B27" s="11" t="s">
        <v>56</v>
      </c>
      <c r="C27" s="7" t="s">
        <v>25</v>
      </c>
      <c r="D27" s="40" t="s">
        <v>70</v>
      </c>
      <c r="E27" s="8">
        <f t="shared" si="2"/>
        <v>0</v>
      </c>
      <c r="F27" s="8">
        <f>COUNTIF(J27:U27,"&lt;=1000")</f>
        <v>0</v>
      </c>
      <c r="G27" s="9"/>
      <c r="H27" s="40"/>
      <c r="I27" s="1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1.25">
      <c r="A28" s="67" t="s">
        <v>73</v>
      </c>
      <c r="B28" s="11" t="s">
        <v>38</v>
      </c>
      <c r="C28" s="19" t="s">
        <v>43</v>
      </c>
      <c r="D28" s="47" t="s">
        <v>62</v>
      </c>
      <c r="E28" s="20">
        <f t="shared" si="2"/>
        <v>0</v>
      </c>
      <c r="F28" s="71">
        <f>COUNTIF(J28:U28,"&lt;=5")</f>
        <v>0</v>
      </c>
      <c r="G28" s="21" t="e">
        <f aca="true" t="shared" si="3" ref="G28:G36">F28/E28</f>
        <v>#DIV/0!</v>
      </c>
      <c r="H28" s="71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1.25">
      <c r="A29" s="67" t="s">
        <v>74</v>
      </c>
      <c r="B29" s="48" t="s">
        <v>38</v>
      </c>
      <c r="C29" s="49" t="s">
        <v>43</v>
      </c>
      <c r="D29" s="50" t="s">
        <v>72</v>
      </c>
      <c r="E29" s="50">
        <f t="shared" si="2"/>
        <v>4</v>
      </c>
      <c r="F29" s="50">
        <f>COUNTIF(J29:U29,"&lt;10")</f>
        <v>0</v>
      </c>
      <c r="G29" s="51">
        <f t="shared" si="3"/>
        <v>0</v>
      </c>
      <c r="H29" s="80"/>
      <c r="I29" s="10"/>
      <c r="J29" s="11"/>
      <c r="K29" s="11"/>
      <c r="L29" s="11"/>
      <c r="M29" s="11"/>
      <c r="N29" s="11"/>
      <c r="O29" s="11"/>
      <c r="P29" s="11"/>
      <c r="Q29" s="11"/>
      <c r="R29" s="11">
        <v>17.6</v>
      </c>
      <c r="S29" s="11">
        <v>17.5</v>
      </c>
      <c r="T29" s="11">
        <v>24.7</v>
      </c>
      <c r="U29" s="11">
        <v>75.4</v>
      </c>
    </row>
    <row r="30" spans="1:21" ht="11.25">
      <c r="A30" s="67" t="s">
        <v>2</v>
      </c>
      <c r="B30" s="48" t="s">
        <v>38</v>
      </c>
      <c r="C30" s="58" t="s">
        <v>29</v>
      </c>
      <c r="D30" s="59" t="s">
        <v>75</v>
      </c>
      <c r="E30" s="59">
        <f t="shared" si="2"/>
        <v>10</v>
      </c>
      <c r="F30" s="59">
        <f>COUNTIF(J30:U30,"&lt;=200")</f>
        <v>10</v>
      </c>
      <c r="G30" s="60">
        <f t="shared" si="3"/>
        <v>1</v>
      </c>
      <c r="H30" s="59" t="s">
        <v>123</v>
      </c>
      <c r="I30" s="10">
        <f>+AVERAGE(J30:U30)</f>
        <v>111.338</v>
      </c>
      <c r="J30" s="11"/>
      <c r="K30" s="11">
        <v>93.81</v>
      </c>
      <c r="L30" s="11">
        <v>89.73</v>
      </c>
      <c r="M30" s="11"/>
      <c r="N30" s="11">
        <v>82.94</v>
      </c>
      <c r="O30" s="11">
        <v>121.19</v>
      </c>
      <c r="P30" s="11">
        <v>97.36</v>
      </c>
      <c r="Q30" s="11">
        <v>114.86</v>
      </c>
      <c r="R30" s="11">
        <v>114.47</v>
      </c>
      <c r="S30" s="11">
        <v>121.54</v>
      </c>
      <c r="T30" s="11">
        <v>134.54</v>
      </c>
      <c r="U30" s="11">
        <v>142.94</v>
      </c>
    </row>
    <row r="31" spans="1:21" ht="11.25">
      <c r="A31" s="67" t="s">
        <v>3</v>
      </c>
      <c r="B31" s="48" t="s">
        <v>38</v>
      </c>
      <c r="C31" s="62" t="s">
        <v>41</v>
      </c>
      <c r="D31" s="63" t="s">
        <v>76</v>
      </c>
      <c r="E31" s="64">
        <f t="shared" si="2"/>
        <v>1</v>
      </c>
      <c r="F31" s="64">
        <f>COUNTIF(J31:U31,"&lt;=50")</f>
        <v>1</v>
      </c>
      <c r="G31" s="65">
        <f t="shared" si="3"/>
        <v>1</v>
      </c>
      <c r="H31" s="64" t="s">
        <v>123</v>
      </c>
      <c r="I31" s="10">
        <f>+AVERAGE(J31:U31)</f>
        <v>0.82</v>
      </c>
      <c r="J31" s="11"/>
      <c r="K31" s="11">
        <v>0.82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1.25">
      <c r="A32" s="67" t="s">
        <v>4</v>
      </c>
      <c r="B32" s="48" t="s">
        <v>38</v>
      </c>
      <c r="C32" s="58" t="s">
        <v>29</v>
      </c>
      <c r="D32" s="61" t="s">
        <v>62</v>
      </c>
      <c r="E32" s="59">
        <f t="shared" si="2"/>
        <v>9</v>
      </c>
      <c r="F32" s="59">
        <f>COUNTIF(J32:U32,"&lt;=5")</f>
        <v>9</v>
      </c>
      <c r="G32" s="60">
        <f t="shared" si="3"/>
        <v>1</v>
      </c>
      <c r="H32" s="59" t="s">
        <v>123</v>
      </c>
      <c r="I32" s="10">
        <f>+AVERAGE(J32:U32)</f>
        <v>0.05655555555555555</v>
      </c>
      <c r="J32" s="11"/>
      <c r="K32" s="11"/>
      <c r="L32" s="11">
        <v>0.05</v>
      </c>
      <c r="M32" s="11"/>
      <c r="N32" s="11">
        <v>0.032</v>
      </c>
      <c r="O32" s="11">
        <v>0.057</v>
      </c>
      <c r="P32" s="11">
        <v>0.077</v>
      </c>
      <c r="Q32" s="11">
        <v>0.058</v>
      </c>
      <c r="R32" s="11">
        <v>0.03</v>
      </c>
      <c r="S32" s="11">
        <v>0.05</v>
      </c>
      <c r="T32" s="11">
        <v>0.043</v>
      </c>
      <c r="U32" s="11">
        <v>0.112</v>
      </c>
    </row>
    <row r="33" spans="1:21" ht="11.25">
      <c r="A33" s="67" t="s">
        <v>5</v>
      </c>
      <c r="B33" s="48" t="s">
        <v>38</v>
      </c>
      <c r="C33" s="58" t="s">
        <v>29</v>
      </c>
      <c r="D33" s="59" t="s">
        <v>77</v>
      </c>
      <c r="E33" s="59">
        <f t="shared" si="2"/>
        <v>10</v>
      </c>
      <c r="F33" s="59">
        <f>COUNTIF(J33:U33,"&lt;=300")</f>
        <v>9</v>
      </c>
      <c r="G33" s="60">
        <f t="shared" si="3"/>
        <v>0.9</v>
      </c>
      <c r="H33" s="59" t="s">
        <v>124</v>
      </c>
      <c r="I33" s="10">
        <f>+AVERAGE(J33:U33)</f>
        <v>168.81699999999998</v>
      </c>
      <c r="J33" s="11"/>
      <c r="K33" s="11">
        <v>151.91</v>
      </c>
      <c r="L33" s="11">
        <v>153.04</v>
      </c>
      <c r="M33" s="11"/>
      <c r="N33" s="11">
        <v>147.11</v>
      </c>
      <c r="O33" s="11">
        <v>0.57</v>
      </c>
      <c r="P33" s="11">
        <v>170.72</v>
      </c>
      <c r="Q33" s="11">
        <v>175.64</v>
      </c>
      <c r="R33" s="11">
        <v>322.51</v>
      </c>
      <c r="S33" s="11">
        <v>175.31</v>
      </c>
      <c r="T33" s="11">
        <v>199.04</v>
      </c>
      <c r="U33" s="11">
        <v>192.32</v>
      </c>
    </row>
    <row r="34" spans="1:21" ht="11.25">
      <c r="A34" s="124" t="s">
        <v>102</v>
      </c>
      <c r="B34" s="93" t="s">
        <v>38</v>
      </c>
      <c r="C34" s="55" t="s">
        <v>45</v>
      </c>
      <c r="D34" s="56" t="s">
        <v>78</v>
      </c>
      <c r="E34" s="56">
        <f>COUNTA(J34:U35)</f>
        <v>10</v>
      </c>
      <c r="F34" s="56">
        <f>COUNTIF(J34:U35,"&lt;=500")</f>
        <v>10</v>
      </c>
      <c r="G34" s="57">
        <f t="shared" si="3"/>
        <v>1</v>
      </c>
      <c r="H34" s="56" t="s">
        <v>123</v>
      </c>
      <c r="I34" s="10">
        <v>68.12</v>
      </c>
      <c r="J34" s="133"/>
      <c r="K34" s="133">
        <v>36.67</v>
      </c>
      <c r="L34" s="133">
        <v>33.68</v>
      </c>
      <c r="M34" s="133"/>
      <c r="N34" s="133">
        <v>33.31</v>
      </c>
      <c r="O34" s="133">
        <v>168.81</v>
      </c>
      <c r="P34" s="133">
        <v>36.45</v>
      </c>
      <c r="Q34" s="133">
        <v>64.81</v>
      </c>
      <c r="R34" s="133">
        <v>44.98</v>
      </c>
      <c r="S34" s="133">
        <v>49.6</v>
      </c>
      <c r="T34" s="133">
        <v>34.76</v>
      </c>
      <c r="U34" s="133">
        <v>35.64</v>
      </c>
    </row>
    <row r="35" spans="1:21" ht="9.75" customHeight="1">
      <c r="A35" s="125"/>
      <c r="B35" s="94"/>
      <c r="C35" s="58" t="s">
        <v>29</v>
      </c>
      <c r="D35" s="61" t="s">
        <v>71</v>
      </c>
      <c r="E35" s="59">
        <f>COUNTA(J34:U35)</f>
        <v>10</v>
      </c>
      <c r="F35" s="59">
        <f>COUNTIF(J34:U35,"&lt;=250")</f>
        <v>10</v>
      </c>
      <c r="G35" s="60">
        <f t="shared" si="3"/>
        <v>1</v>
      </c>
      <c r="H35" s="59" t="s">
        <v>123</v>
      </c>
      <c r="I35" s="10">
        <v>68.12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11.25">
      <c r="A36" s="67" t="s">
        <v>8</v>
      </c>
      <c r="B36" s="48" t="s">
        <v>38</v>
      </c>
      <c r="C36" s="58" t="s">
        <v>29</v>
      </c>
      <c r="D36" s="59" t="s">
        <v>79</v>
      </c>
      <c r="E36" s="59">
        <f aca="true" t="shared" si="4" ref="E36:E49">COUNTA(J36:U36)</f>
        <v>11</v>
      </c>
      <c r="F36" s="59">
        <f>COUNTIF(J36:U36,"&lt;=1,5")</f>
        <v>11</v>
      </c>
      <c r="G36" s="60">
        <f t="shared" si="3"/>
        <v>1</v>
      </c>
      <c r="H36" s="59" t="s">
        <v>123</v>
      </c>
      <c r="I36" s="10">
        <f aca="true" t="shared" si="5" ref="I36:I49">+AVERAGE(J36:U36)</f>
        <v>0.2651818181818182</v>
      </c>
      <c r="J36" s="11"/>
      <c r="K36" s="11">
        <v>0.21</v>
      </c>
      <c r="L36" s="11">
        <v>0.209</v>
      </c>
      <c r="M36" s="11">
        <v>0.01</v>
      </c>
      <c r="N36" s="11">
        <v>0</v>
      </c>
      <c r="O36" s="11">
        <v>0.28</v>
      </c>
      <c r="P36" s="11">
        <v>0.223</v>
      </c>
      <c r="Q36" s="11">
        <v>0.436</v>
      </c>
      <c r="R36" s="11">
        <v>0.268</v>
      </c>
      <c r="S36" s="11">
        <v>0.27</v>
      </c>
      <c r="T36" s="11">
        <v>0.751</v>
      </c>
      <c r="U36" s="11">
        <v>0.26</v>
      </c>
    </row>
    <row r="37" spans="1:21" ht="11.25">
      <c r="A37" s="68" t="s">
        <v>122</v>
      </c>
      <c r="B37" s="48" t="s">
        <v>80</v>
      </c>
      <c r="C37" s="55" t="s">
        <v>45</v>
      </c>
      <c r="D37" s="56" t="s">
        <v>121</v>
      </c>
      <c r="E37" s="56">
        <f t="shared" si="4"/>
        <v>12</v>
      </c>
      <c r="F37" s="56">
        <f>COUNTIF(J37:U37,"&lt;=11")</f>
        <v>12</v>
      </c>
      <c r="G37" s="57">
        <f>+F37/E37</f>
        <v>1</v>
      </c>
      <c r="H37" s="56" t="s">
        <v>123</v>
      </c>
      <c r="I37" s="10">
        <f t="shared" si="5"/>
        <v>0.8649999999999999</v>
      </c>
      <c r="J37" s="11">
        <v>1.07</v>
      </c>
      <c r="K37" s="11">
        <v>0.742</v>
      </c>
      <c r="L37" s="11">
        <v>0.656</v>
      </c>
      <c r="M37" s="11">
        <v>0.73</v>
      </c>
      <c r="N37" s="11">
        <v>0.742</v>
      </c>
      <c r="O37" s="11">
        <v>0.21</v>
      </c>
      <c r="P37" s="11">
        <v>0.973</v>
      </c>
      <c r="Q37" s="11">
        <v>1.612</v>
      </c>
      <c r="R37" s="11">
        <v>0.897</v>
      </c>
      <c r="S37" s="11">
        <v>0.9</v>
      </c>
      <c r="T37" s="11">
        <v>0.918</v>
      </c>
      <c r="U37" s="11">
        <v>0.93</v>
      </c>
    </row>
    <row r="38" spans="1:21" ht="11.25">
      <c r="A38" s="67" t="s">
        <v>81</v>
      </c>
      <c r="B38" s="52" t="s">
        <v>47</v>
      </c>
      <c r="C38" s="49" t="s">
        <v>43</v>
      </c>
      <c r="D38" s="50" t="s">
        <v>82</v>
      </c>
      <c r="E38" s="50">
        <f t="shared" si="4"/>
        <v>1</v>
      </c>
      <c r="F38" s="50">
        <f>COUNTIF(J38:U38,"&lt;150")</f>
        <v>1</v>
      </c>
      <c r="G38" s="57">
        <f aca="true" t="shared" si="6" ref="G38:G49">+F38/E38</f>
        <v>1</v>
      </c>
      <c r="H38" s="56" t="s">
        <v>123</v>
      </c>
      <c r="I38" s="10">
        <f t="shared" si="5"/>
        <v>0</v>
      </c>
      <c r="J38" s="11"/>
      <c r="K38" s="11"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1.25">
      <c r="A39" s="67" t="s">
        <v>83</v>
      </c>
      <c r="B39" s="48" t="s">
        <v>47</v>
      </c>
      <c r="C39" s="49" t="s">
        <v>43</v>
      </c>
      <c r="D39" s="54" t="s">
        <v>101</v>
      </c>
      <c r="E39" s="50">
        <f t="shared" si="4"/>
        <v>1</v>
      </c>
      <c r="F39" s="50">
        <f>COUNTIF(J39:U39,"&lt;=500")</f>
        <v>1</v>
      </c>
      <c r="G39" s="57">
        <f t="shared" si="6"/>
        <v>1</v>
      </c>
      <c r="H39" s="56" t="s">
        <v>123</v>
      </c>
      <c r="I39" s="10">
        <f t="shared" si="5"/>
        <v>0</v>
      </c>
      <c r="J39" s="11"/>
      <c r="K39" s="11"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1.25">
      <c r="A40" s="67" t="s">
        <v>84</v>
      </c>
      <c r="B40" s="48" t="s">
        <v>47</v>
      </c>
      <c r="C40" s="49" t="s">
        <v>43</v>
      </c>
      <c r="D40" s="50" t="s">
        <v>85</v>
      </c>
      <c r="E40" s="50">
        <f t="shared" si="4"/>
        <v>1</v>
      </c>
      <c r="F40" s="50">
        <f>COUNTIF(J40:U40,"&lt;=2000")</f>
        <v>1</v>
      </c>
      <c r="G40" s="57">
        <f t="shared" si="6"/>
        <v>1</v>
      </c>
      <c r="H40" s="56" t="s">
        <v>123</v>
      </c>
      <c r="I40" s="10">
        <f t="shared" si="5"/>
        <v>25</v>
      </c>
      <c r="J40" s="11"/>
      <c r="K40" s="11">
        <v>25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1.25">
      <c r="A41" s="67" t="s">
        <v>86</v>
      </c>
      <c r="B41" s="48" t="s">
        <v>47</v>
      </c>
      <c r="C41" s="49" t="s">
        <v>43</v>
      </c>
      <c r="D41" s="50" t="s">
        <v>87</v>
      </c>
      <c r="E41" s="50">
        <f t="shared" si="4"/>
        <v>1</v>
      </c>
      <c r="F41" s="50">
        <f>COUNTIF(J41:U41,"&lt;100")</f>
        <v>1</v>
      </c>
      <c r="G41" s="57">
        <f t="shared" si="6"/>
        <v>1</v>
      </c>
      <c r="H41" s="56" t="s">
        <v>123</v>
      </c>
      <c r="I41" s="10">
        <f t="shared" si="5"/>
        <v>0</v>
      </c>
      <c r="J41" s="11"/>
      <c r="K41" s="11"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1.25">
      <c r="A42" s="67" t="s">
        <v>88</v>
      </c>
      <c r="B42" s="48" t="s">
        <v>47</v>
      </c>
      <c r="C42" s="49" t="s">
        <v>43</v>
      </c>
      <c r="D42" s="50" t="s">
        <v>89</v>
      </c>
      <c r="E42" s="50">
        <f t="shared" si="4"/>
        <v>1</v>
      </c>
      <c r="F42" s="50">
        <f>COUNTIF(J42:U42,"&lt;5")</f>
        <v>1</v>
      </c>
      <c r="G42" s="57">
        <f t="shared" si="6"/>
        <v>1</v>
      </c>
      <c r="H42" s="56" t="s">
        <v>123</v>
      </c>
      <c r="I42" s="10">
        <f t="shared" si="5"/>
        <v>0</v>
      </c>
      <c r="J42" s="11"/>
      <c r="K42" s="11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1.25">
      <c r="A43" s="69" t="s">
        <v>90</v>
      </c>
      <c r="B43" s="53" t="s">
        <v>47</v>
      </c>
      <c r="C43" s="49" t="s">
        <v>43</v>
      </c>
      <c r="D43" s="50" t="s">
        <v>91</v>
      </c>
      <c r="E43" s="50">
        <f t="shared" si="4"/>
        <v>1</v>
      </c>
      <c r="F43" s="50">
        <f>COUNTIF(J43:U43,"&lt;20")</f>
        <v>1</v>
      </c>
      <c r="G43" s="57">
        <f t="shared" si="6"/>
        <v>1</v>
      </c>
      <c r="H43" s="56" t="s">
        <v>123</v>
      </c>
      <c r="I43" s="10">
        <f t="shared" si="5"/>
        <v>1</v>
      </c>
      <c r="J43" s="11"/>
      <c r="K43" s="11">
        <v>1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1.25">
      <c r="A44" s="67" t="s">
        <v>92</v>
      </c>
      <c r="B44" s="53" t="s">
        <v>47</v>
      </c>
      <c r="C44" s="55" t="s">
        <v>45</v>
      </c>
      <c r="D44" s="56" t="s">
        <v>93</v>
      </c>
      <c r="E44" s="56"/>
      <c r="F44" s="56"/>
      <c r="G44" s="57"/>
      <c r="H44" s="56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1.25">
      <c r="A45" s="67" t="s">
        <v>94</v>
      </c>
      <c r="B45" s="48" t="s">
        <v>47</v>
      </c>
      <c r="C45" s="49" t="s">
        <v>43</v>
      </c>
      <c r="D45" s="50" t="s">
        <v>72</v>
      </c>
      <c r="E45" s="50">
        <f t="shared" si="4"/>
        <v>1</v>
      </c>
      <c r="F45" s="50">
        <f>COUNTIF(J45:U45,"&lt;10")</f>
        <v>1</v>
      </c>
      <c r="G45" s="57">
        <f t="shared" si="6"/>
        <v>1</v>
      </c>
      <c r="H45" s="56" t="s">
        <v>123</v>
      </c>
      <c r="I45" s="10">
        <f t="shared" si="5"/>
        <v>0</v>
      </c>
      <c r="J45" s="11"/>
      <c r="K45" s="11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1.25">
      <c r="A46" s="67" t="s">
        <v>95</v>
      </c>
      <c r="B46" s="52" t="s">
        <v>47</v>
      </c>
      <c r="C46" s="49" t="s">
        <v>43</v>
      </c>
      <c r="D46" s="50" t="s">
        <v>96</v>
      </c>
      <c r="E46" s="50">
        <f t="shared" si="4"/>
        <v>1</v>
      </c>
      <c r="F46" s="50">
        <f>COUNTIF(J46:U46,"&lt;=6")</f>
        <v>1</v>
      </c>
      <c r="G46" s="57">
        <f t="shared" si="6"/>
        <v>1</v>
      </c>
      <c r="H46" s="56" t="s">
        <v>123</v>
      </c>
      <c r="I46" s="10">
        <f t="shared" si="5"/>
        <v>2</v>
      </c>
      <c r="J46" s="11"/>
      <c r="K46" s="11">
        <v>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1.25">
      <c r="A47" s="67" t="s">
        <v>97</v>
      </c>
      <c r="B47" s="52" t="s">
        <v>47</v>
      </c>
      <c r="C47" s="49" t="s">
        <v>43</v>
      </c>
      <c r="D47" s="50" t="s">
        <v>91</v>
      </c>
      <c r="E47" s="50">
        <f t="shared" si="4"/>
        <v>1</v>
      </c>
      <c r="F47" s="50">
        <f>COUNTIF(J47:U47,"&lt;20")</f>
        <v>1</v>
      </c>
      <c r="G47" s="57">
        <f t="shared" si="6"/>
        <v>1</v>
      </c>
      <c r="H47" s="56" t="s">
        <v>123</v>
      </c>
      <c r="I47" s="10">
        <f t="shared" si="5"/>
        <v>0</v>
      </c>
      <c r="J47" s="11"/>
      <c r="K47" s="11">
        <v>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1.25">
      <c r="A48" s="67" t="s">
        <v>98</v>
      </c>
      <c r="B48" s="52" t="s">
        <v>47</v>
      </c>
      <c r="C48" s="49" t="s">
        <v>43</v>
      </c>
      <c r="D48" s="50" t="s">
        <v>75</v>
      </c>
      <c r="E48" s="50">
        <f t="shared" si="4"/>
        <v>1</v>
      </c>
      <c r="F48" s="50">
        <f>COUNTIF(J48:U48,"&lt;=200")</f>
        <v>1</v>
      </c>
      <c r="G48" s="57">
        <f t="shared" si="6"/>
        <v>1</v>
      </c>
      <c r="H48" s="56" t="s">
        <v>123</v>
      </c>
      <c r="I48" s="10">
        <f t="shared" si="5"/>
        <v>0</v>
      </c>
      <c r="J48" s="11"/>
      <c r="K48" s="11"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1.25">
      <c r="A49" s="67" t="s">
        <v>99</v>
      </c>
      <c r="B49" s="48" t="s">
        <v>47</v>
      </c>
      <c r="C49" s="49" t="s">
        <v>43</v>
      </c>
      <c r="D49" s="50" t="s">
        <v>100</v>
      </c>
      <c r="E49" s="50">
        <f t="shared" si="4"/>
        <v>1</v>
      </c>
      <c r="F49" s="50">
        <f>COUNTIF(J49:U49,"&lt;=20")</f>
        <v>1</v>
      </c>
      <c r="G49" s="57">
        <f t="shared" si="6"/>
        <v>1</v>
      </c>
      <c r="H49" s="56" t="s">
        <v>123</v>
      </c>
      <c r="I49" s="10">
        <f t="shared" si="5"/>
        <v>3</v>
      </c>
      <c r="J49" s="11"/>
      <c r="K49" s="11">
        <v>3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ht="11.25">
      <c r="H50" s="76"/>
    </row>
    <row r="51" spans="2:11" ht="11.25" customHeight="1">
      <c r="B51" s="106" t="s">
        <v>51</v>
      </c>
      <c r="C51" s="107"/>
      <c r="D51" s="108"/>
      <c r="E51" s="23">
        <f>E25+E34+E37+E44</f>
        <v>33</v>
      </c>
      <c r="F51" s="23">
        <f>F25+F34+F37+F44</f>
        <v>33</v>
      </c>
      <c r="G51" s="24">
        <f>+F51/E51</f>
        <v>1</v>
      </c>
      <c r="H51" s="75" t="s">
        <v>123</v>
      </c>
      <c r="I51" s="27"/>
      <c r="J51" s="85" t="s">
        <v>135</v>
      </c>
      <c r="K51" s="85"/>
    </row>
    <row r="52" spans="2:9" ht="11.25" customHeight="1">
      <c r="B52" s="115" t="s">
        <v>43</v>
      </c>
      <c r="C52" s="116"/>
      <c r="D52" s="117"/>
      <c r="E52" s="20">
        <f>+E22+E20+E19+E17+E28+E29+SUM(E38:E43)+SUM(E45:E49)</f>
        <v>56</v>
      </c>
      <c r="F52" s="20">
        <f>+F22+F20+F19+F17+F28+F29+SUM(F38:F43)+SUM(F45:F49)</f>
        <v>49</v>
      </c>
      <c r="G52" s="21">
        <f>+F52/E52</f>
        <v>0.875</v>
      </c>
      <c r="H52" s="82" t="s">
        <v>125</v>
      </c>
      <c r="I52" s="27"/>
    </row>
    <row r="53" spans="2:9" ht="11.25" customHeight="1">
      <c r="B53" s="118" t="s">
        <v>29</v>
      </c>
      <c r="C53" s="119"/>
      <c r="D53" s="120"/>
      <c r="E53" s="34">
        <f>+E23+E21+E16+E14+E9+E8+E5+E18+E30+E32+E33+E35+E36</f>
        <v>98</v>
      </c>
      <c r="F53" s="34">
        <f>+F23+F21+F16+F14+F9+F8+F5+F18+F30+F32+F33+F35+F36</f>
        <v>97</v>
      </c>
      <c r="G53" s="14">
        <f>+F53/E53</f>
        <v>0.9897959183673469</v>
      </c>
      <c r="H53" s="41" t="s">
        <v>123</v>
      </c>
      <c r="I53" s="27"/>
    </row>
    <row r="54" spans="2:11" ht="11.25" customHeight="1">
      <c r="B54" s="121" t="s">
        <v>52</v>
      </c>
      <c r="C54" s="122"/>
      <c r="D54" s="123"/>
      <c r="E54" s="28">
        <f>+E22+E20+E16+E25+E17+E19+E28+E29+E31+E34+E37+SUM(E38:E49)</f>
        <v>91</v>
      </c>
      <c r="F54" s="28">
        <f>+F22+F20+F16+F25+F17+F19+F28+F29+F31+F34+F37+SUM(F38:F49)</f>
        <v>84</v>
      </c>
      <c r="G54" s="29">
        <f>+F54/E54</f>
        <v>0.9230769230769231</v>
      </c>
      <c r="H54" s="81" t="s">
        <v>123</v>
      </c>
      <c r="I54" s="27"/>
      <c r="J54" s="85" t="s">
        <v>136</v>
      </c>
      <c r="K54" s="85"/>
    </row>
    <row r="55" spans="2:9" ht="11.25" customHeight="1">
      <c r="B55" s="112" t="s">
        <v>53</v>
      </c>
      <c r="C55" s="113"/>
      <c r="D55" s="114"/>
      <c r="E55" s="33">
        <f>+E24+E7+E4+E14+E26+E27+E31</f>
        <v>46</v>
      </c>
      <c r="F55" s="33">
        <f>+F24+F7+F4+F14+F26+F27+F31</f>
        <v>44</v>
      </c>
      <c r="G55" s="9">
        <f>+F55/E55</f>
        <v>0.9565217391304348</v>
      </c>
      <c r="H55" s="78" t="s">
        <v>123</v>
      </c>
      <c r="I55" s="27"/>
    </row>
    <row r="58" spans="10:21" ht="11.25">
      <c r="J58" s="26"/>
      <c r="S58" s="26"/>
      <c r="T58" s="26"/>
      <c r="U58" s="26"/>
    </row>
    <row r="59" spans="10:21" ht="11.25">
      <c r="J59" s="26"/>
      <c r="S59" s="26"/>
      <c r="T59" s="26"/>
      <c r="U59" s="26"/>
    </row>
    <row r="60" spans="10:21" ht="11.25">
      <c r="J60" s="26"/>
      <c r="S60" s="26"/>
      <c r="T60" s="26"/>
      <c r="U60" s="26"/>
    </row>
    <row r="61" spans="10:21" ht="11.25">
      <c r="J61" s="26"/>
      <c r="S61" s="26"/>
      <c r="T61" s="26"/>
      <c r="U61" s="26"/>
    </row>
    <row r="62" spans="10:21" ht="11.25" customHeight="1">
      <c r="J62" s="26"/>
      <c r="R62" s="26"/>
      <c r="S62" s="26"/>
      <c r="T62" s="26"/>
      <c r="U62" s="26"/>
    </row>
    <row r="63" spans="10:21" ht="11.25">
      <c r="J63" s="26"/>
      <c r="R63" s="26"/>
      <c r="S63" s="26"/>
      <c r="T63" s="26"/>
      <c r="U63" s="26"/>
    </row>
    <row r="64" spans="10:21" ht="11.25">
      <c r="J64" s="26"/>
      <c r="R64" s="26"/>
      <c r="S64" s="26"/>
      <c r="T64" s="26"/>
      <c r="U64" s="26"/>
    </row>
    <row r="65" spans="10:21" ht="11.25">
      <c r="J65" s="26"/>
      <c r="R65" s="26"/>
      <c r="S65" s="26"/>
      <c r="T65" s="26"/>
      <c r="U65" s="26"/>
    </row>
    <row r="66" spans="10:21" ht="11.25">
      <c r="J66" s="26"/>
      <c r="R66" s="26"/>
      <c r="S66" s="26"/>
      <c r="T66" s="26"/>
      <c r="U66" s="26"/>
    </row>
    <row r="67" spans="10:21" ht="11.25">
      <c r="J67" s="26"/>
      <c r="R67" s="26"/>
      <c r="S67" s="26"/>
      <c r="T67" s="26"/>
      <c r="U67" s="26"/>
    </row>
    <row r="68" spans="10:21" ht="11.25">
      <c r="J68" s="26"/>
      <c r="R68" s="26"/>
      <c r="S68" s="26"/>
      <c r="T68" s="26"/>
      <c r="U68" s="26"/>
    </row>
    <row r="69" spans="10:21" ht="11.25">
      <c r="J69" s="26"/>
      <c r="R69" s="26"/>
      <c r="S69" s="26"/>
      <c r="T69" s="26"/>
      <c r="U69" s="26"/>
    </row>
    <row r="70" spans="10:21" ht="11.25">
      <c r="J70" s="26"/>
      <c r="R70" s="26"/>
      <c r="S70" s="26"/>
      <c r="T70" s="26"/>
      <c r="U70" s="26"/>
    </row>
    <row r="71" spans="10:21" ht="11.25">
      <c r="J71" s="26"/>
      <c r="R71" s="26"/>
      <c r="S71" s="26"/>
      <c r="T71" s="26"/>
      <c r="U71" s="26"/>
    </row>
    <row r="72" spans="10:21" ht="11.25">
      <c r="J72" s="26"/>
      <c r="R72" s="26"/>
      <c r="T72" s="26"/>
      <c r="U72" s="26"/>
    </row>
    <row r="73" spans="10:21" ht="11.25">
      <c r="J73" s="26"/>
      <c r="R73" s="26"/>
      <c r="T73" s="26"/>
      <c r="U73" s="26"/>
    </row>
    <row r="74" spans="10:21" ht="11.25">
      <c r="J74" s="26"/>
      <c r="R74" s="26"/>
      <c r="T74" s="26"/>
      <c r="U74" s="26"/>
    </row>
    <row r="75" spans="10:21" ht="11.25">
      <c r="J75" s="26"/>
      <c r="R75" s="26"/>
      <c r="T75" s="26"/>
      <c r="U75" s="26"/>
    </row>
    <row r="76" spans="10:21" ht="11.25">
      <c r="J76" s="26"/>
      <c r="U76" s="26"/>
    </row>
    <row r="77" spans="10:21" ht="11.25">
      <c r="J77" s="26"/>
      <c r="U77" s="26"/>
    </row>
    <row r="78" spans="10:21" ht="11.25" customHeight="1">
      <c r="J78" s="26"/>
      <c r="U78" s="26"/>
    </row>
    <row r="79" ht="11.25">
      <c r="J79" s="26"/>
    </row>
    <row r="80" ht="11.25">
      <c r="J80" s="26"/>
    </row>
    <row r="81" ht="11.25">
      <c r="J81" s="26"/>
    </row>
  </sheetData>
  <sheetProtection/>
  <mergeCells count="65">
    <mergeCell ref="T34:T35"/>
    <mergeCell ref="U34:U35"/>
    <mergeCell ref="B51:D51"/>
    <mergeCell ref="B52:D52"/>
    <mergeCell ref="B53:D53"/>
    <mergeCell ref="B54:D54"/>
    <mergeCell ref="N34:N35"/>
    <mergeCell ref="M34:M35"/>
    <mergeCell ref="O34:O35"/>
    <mergeCell ref="P34:P35"/>
    <mergeCell ref="Q34:Q35"/>
    <mergeCell ref="I22:I23"/>
    <mergeCell ref="I7:I8"/>
    <mergeCell ref="B55:D55"/>
    <mergeCell ref="S22:S23"/>
    <mergeCell ref="T22:T23"/>
    <mergeCell ref="O22:O23"/>
    <mergeCell ref="R34:R35"/>
    <mergeCell ref="S34:S35"/>
    <mergeCell ref="N20:N21"/>
    <mergeCell ref="A34:A35"/>
    <mergeCell ref="B34:B35"/>
    <mergeCell ref="J34:J35"/>
    <mergeCell ref="K34:K35"/>
    <mergeCell ref="L34:L35"/>
    <mergeCell ref="A22:A23"/>
    <mergeCell ref="B22:B23"/>
    <mergeCell ref="J22:J23"/>
    <mergeCell ref="K22:K23"/>
    <mergeCell ref="L22:L23"/>
    <mergeCell ref="M22:M23"/>
    <mergeCell ref="Q20:Q21"/>
    <mergeCell ref="R20:R21"/>
    <mergeCell ref="P22:P23"/>
    <mergeCell ref="Q22:Q23"/>
    <mergeCell ref="R22:R23"/>
    <mergeCell ref="N22:N23"/>
    <mergeCell ref="U22:U23"/>
    <mergeCell ref="T20:T21"/>
    <mergeCell ref="U20:U21"/>
    <mergeCell ref="S20:S21"/>
    <mergeCell ref="R7:R8"/>
    <mergeCell ref="S7:S8"/>
    <mergeCell ref="T7:T8"/>
    <mergeCell ref="U7:U8"/>
    <mergeCell ref="O7:O8"/>
    <mergeCell ref="P7:P8"/>
    <mergeCell ref="P20:P21"/>
    <mergeCell ref="O20:O21"/>
    <mergeCell ref="A20:A21"/>
    <mergeCell ref="B20:B21"/>
    <mergeCell ref="J20:J21"/>
    <mergeCell ref="K20:K21"/>
    <mergeCell ref="L20:L21"/>
    <mergeCell ref="M20:M21"/>
    <mergeCell ref="Q7:Q8"/>
    <mergeCell ref="A2:C2"/>
    <mergeCell ref="E2:I2"/>
    <mergeCell ref="A7:A8"/>
    <mergeCell ref="B7:B8"/>
    <mergeCell ref="J7:J8"/>
    <mergeCell ref="K7:K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2013-12-11T13:36:07Z</cp:lastPrinted>
  <dcterms:created xsi:type="dcterms:W3CDTF">2010-03-12T07:19:56Z</dcterms:created>
  <dcterms:modified xsi:type="dcterms:W3CDTF">2015-07-28T14:24:06Z</dcterms:modified>
  <cp:category/>
  <cp:version/>
  <cp:contentType/>
  <cp:contentStatus/>
</cp:coreProperties>
</file>